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\Departamentos\COGLC\COLIC\SELIC\EDITAIS\Editais 2025\50000.006504-2024-97 -  Contratação de Serviços de Cerimonial\"/>
    </mc:Choice>
  </mc:AlternateContent>
  <xr:revisionPtr revIDLastSave="0" documentId="8_{E372A9FA-9FBC-45F7-8582-099ABB8AB7E9}" xr6:coauthVersionLast="47" xr6:coauthVersionMax="47" xr10:uidLastSave="{00000000-0000-0000-0000-000000000000}"/>
  <bookViews>
    <workbookView xWindow="28680" yWindow="-120" windowWidth="24240" windowHeight="13020" activeTab="1" xr2:uid="{D61DDF6B-6EE0-4D08-B19A-4259E0A5CBA4}"/>
  </bookViews>
  <sheets>
    <sheet name="Resumo" sheetId="3" r:id="rId1"/>
    <sheet name="Planilha" sheetId="2" r:id="rId2"/>
  </sheets>
  <definedNames>
    <definedName name="_xlnm.Print_Area" localSheetId="1">Planilha!$A$1:$M$134</definedName>
    <definedName name="_xlnm.Print_Area" localSheetId="0">Resumo!$A$1:$M$20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" i="3" l="1"/>
  <c r="G5" i="3"/>
  <c r="G4" i="3"/>
  <c r="F31" i="3" l="1"/>
  <c r="I31" i="3" s="1"/>
  <c r="J31" i="3" s="1"/>
  <c r="L31" i="3" s="1"/>
  <c r="F32" i="3"/>
  <c r="F30" i="3"/>
  <c r="F29" i="3"/>
  <c r="F28" i="3"/>
  <c r="G30" i="3"/>
  <c r="G18" i="3"/>
  <c r="K31" i="3"/>
  <c r="K19" i="3"/>
  <c r="I19" i="3"/>
  <c r="J19" i="3" s="1"/>
  <c r="L19" i="3" s="1"/>
  <c r="K130" i="2" l="1"/>
  <c r="I130" i="2"/>
  <c r="J130" i="2" s="1"/>
  <c r="L130" i="2" s="1"/>
  <c r="K118" i="2"/>
  <c r="I118" i="2"/>
  <c r="J118" i="2" s="1"/>
  <c r="L118" i="2" s="1"/>
  <c r="L39" i="2"/>
  <c r="L38" i="2"/>
  <c r="L37" i="2"/>
  <c r="L36" i="2"/>
  <c r="J39" i="2"/>
  <c r="J38" i="2"/>
  <c r="J37" i="2"/>
  <c r="J36" i="2"/>
  <c r="H39" i="2"/>
  <c r="H38" i="2"/>
  <c r="H37" i="2"/>
  <c r="H36" i="2"/>
  <c r="K7" i="3"/>
  <c r="L5" i="2"/>
  <c r="G129" i="2" s="1"/>
  <c r="G117" i="2" l="1"/>
  <c r="L35" i="2"/>
  <c r="L40" i="2" s="1"/>
  <c r="L13" i="2"/>
  <c r="J5" i="2" l="1"/>
  <c r="G17" i="3"/>
  <c r="G29" i="3"/>
  <c r="H5" i="2"/>
  <c r="G28" i="3"/>
  <c r="G16" i="3"/>
  <c r="I35" i="2"/>
  <c r="L64" i="2"/>
  <c r="L63" i="2"/>
  <c r="L50" i="2"/>
  <c r="L61" i="2"/>
  <c r="L49" i="2"/>
  <c r="L31" i="2"/>
  <c r="L24" i="2"/>
  <c r="L102" i="2"/>
  <c r="L60" i="2"/>
  <c r="L48" i="2"/>
  <c r="L30" i="2"/>
  <c r="L28" i="2"/>
  <c r="L27" i="2"/>
  <c r="L59" i="2"/>
  <c r="L47" i="2"/>
  <c r="L29" i="2"/>
  <c r="L20" i="2"/>
  <c r="L46" i="2"/>
  <c r="L62" i="2"/>
  <c r="L68" i="2"/>
  <c r="L18" i="2"/>
  <c r="L17" i="2"/>
  <c r="L26" i="2"/>
  <c r="L25" i="2"/>
  <c r="M79" i="2"/>
  <c r="L79" i="2"/>
  <c r="L82" i="2" s="1"/>
  <c r="L106" i="2" s="1"/>
  <c r="H79" i="2"/>
  <c r="H82" i="2" s="1"/>
  <c r="H106" i="2" s="1"/>
  <c r="J79" i="2"/>
  <c r="J82" i="2" s="1"/>
  <c r="J106" i="2" s="1"/>
  <c r="I79" i="2"/>
  <c r="K79" i="2"/>
  <c r="G116" i="2" l="1"/>
  <c r="G128" i="2"/>
  <c r="J13" i="2"/>
  <c r="J35" i="2"/>
  <c r="J40" i="2" s="1"/>
  <c r="H13" i="2"/>
  <c r="G127" i="2"/>
  <c r="G115" i="2"/>
  <c r="H35" i="2"/>
  <c r="H40" i="2" s="1"/>
  <c r="L52" i="2"/>
  <c r="L104" i="2" s="1"/>
  <c r="L65" i="2"/>
  <c r="L66" i="2" s="1"/>
  <c r="L73" i="2" s="1"/>
  <c r="L19" i="2"/>
  <c r="L21" i="2" s="1"/>
  <c r="L32" i="2"/>
  <c r="J26" i="2" l="1"/>
  <c r="J28" i="2"/>
  <c r="J17" i="2"/>
  <c r="J59" i="2"/>
  <c r="J20" i="2"/>
  <c r="J31" i="2"/>
  <c r="J46" i="2"/>
  <c r="J50" i="2"/>
  <c r="J18" i="2"/>
  <c r="J60" i="2"/>
  <c r="J68" i="2"/>
  <c r="J30" i="2"/>
  <c r="J25" i="2"/>
  <c r="J64" i="2"/>
  <c r="J24" i="2"/>
  <c r="J49" i="2"/>
  <c r="J47" i="2"/>
  <c r="J29" i="2"/>
  <c r="J63" i="2"/>
  <c r="J48" i="2"/>
  <c r="J27" i="2"/>
  <c r="J62" i="2"/>
  <c r="J102" i="2"/>
  <c r="J61" i="2"/>
  <c r="H30" i="2"/>
  <c r="H68" i="2"/>
  <c r="H46" i="2"/>
  <c r="H60" i="2"/>
  <c r="H27" i="2"/>
  <c r="H61" i="2"/>
  <c r="H20" i="2"/>
  <c r="H63" i="2"/>
  <c r="H28" i="2"/>
  <c r="H26" i="2"/>
  <c r="H59" i="2"/>
  <c r="H18" i="2"/>
  <c r="H48" i="2"/>
  <c r="H25" i="2"/>
  <c r="H62" i="2"/>
  <c r="H31" i="2"/>
  <c r="H47" i="2"/>
  <c r="H24" i="2"/>
  <c r="H17" i="2"/>
  <c r="H50" i="2"/>
  <c r="H102" i="2"/>
  <c r="H29" i="2"/>
  <c r="H49" i="2"/>
  <c r="H64" i="2"/>
  <c r="L42" i="2"/>
  <c r="L103" i="2" s="1"/>
  <c r="K39" i="2"/>
  <c r="M39" i="2"/>
  <c r="I39" i="2"/>
  <c r="I38" i="2"/>
  <c r="K38" i="2"/>
  <c r="M38" i="2"/>
  <c r="K37" i="2"/>
  <c r="M37" i="2"/>
  <c r="I37" i="2"/>
  <c r="H65" i="2" l="1"/>
  <c r="H66" i="2" s="1"/>
  <c r="H73" i="2" s="1"/>
  <c r="J19" i="2"/>
  <c r="J21" i="2" s="1"/>
  <c r="J52" i="2"/>
  <c r="J104" i="2" s="1"/>
  <c r="J65" i="2"/>
  <c r="J66" i="2" s="1"/>
  <c r="J73" i="2" s="1"/>
  <c r="J32" i="2"/>
  <c r="H32" i="2"/>
  <c r="H19" i="2"/>
  <c r="H21" i="2" s="1"/>
  <c r="H52" i="2"/>
  <c r="H104" i="2" s="1"/>
  <c r="M8" i="2"/>
  <c r="K8" i="2"/>
  <c r="H42" i="2" l="1"/>
  <c r="H103" i="2" s="1"/>
  <c r="J42" i="2"/>
  <c r="J103" i="2" s="1"/>
  <c r="M10" i="2"/>
  <c r="M9" i="2"/>
  <c r="K9" i="2"/>
  <c r="K10" i="2"/>
  <c r="M13" i="2" l="1"/>
  <c r="K13" i="2"/>
  <c r="I82" i="2"/>
  <c r="I7" i="3"/>
  <c r="J7" i="3" s="1"/>
  <c r="L7" i="3" s="1"/>
  <c r="K26" i="2" l="1"/>
  <c r="K17" i="2"/>
  <c r="M26" i="2"/>
  <c r="M59" i="2"/>
  <c r="M62" i="2"/>
  <c r="M63" i="2"/>
  <c r="M46" i="2"/>
  <c r="M47" i="2"/>
  <c r="M49" i="2"/>
  <c r="M61" i="2"/>
  <c r="L69" i="2"/>
  <c r="L70" i="2" s="1"/>
  <c r="L74" i="2" s="1"/>
  <c r="L75" i="2" s="1"/>
  <c r="L105" i="2" s="1"/>
  <c r="L107" i="2" s="1"/>
  <c r="L86" i="2" s="1"/>
  <c r="M64" i="2"/>
  <c r="J69" i="2"/>
  <c r="J70" i="2" s="1"/>
  <c r="J74" i="2" s="1"/>
  <c r="J75" i="2" s="1"/>
  <c r="J105" i="2" s="1"/>
  <c r="J107" i="2" s="1"/>
  <c r="J86" i="2" s="1"/>
  <c r="M48" i="2"/>
  <c r="H69" i="2"/>
  <c r="H70" i="2" s="1"/>
  <c r="H74" i="2" s="1"/>
  <c r="H75" i="2" s="1"/>
  <c r="H105" i="2" s="1"/>
  <c r="H107" i="2" s="1"/>
  <c r="H86" i="2" s="1"/>
  <c r="H87" i="2" s="1"/>
  <c r="H88" i="2" s="1"/>
  <c r="M50" i="2"/>
  <c r="M60" i="2"/>
  <c r="M27" i="2"/>
  <c r="M18" i="2"/>
  <c r="M28" i="2"/>
  <c r="M29" i="2"/>
  <c r="M30" i="2"/>
  <c r="M31" i="2"/>
  <c r="K27" i="2"/>
  <c r="K28" i="2"/>
  <c r="K29" i="2"/>
  <c r="K30" i="2"/>
  <c r="K31" i="2"/>
  <c r="M25" i="2"/>
  <c r="M24" i="2"/>
  <c r="K24" i="2"/>
  <c r="K25" i="2"/>
  <c r="K18" i="2"/>
  <c r="M52" i="2" l="1"/>
  <c r="M65" i="2"/>
  <c r="M66" i="2" s="1"/>
  <c r="L87" i="2"/>
  <c r="L88" i="2" s="1"/>
  <c r="H109" i="2"/>
  <c r="H115" i="2" s="1"/>
  <c r="H94" i="2"/>
  <c r="H91" i="2"/>
  <c r="H92" i="2"/>
  <c r="J87" i="2"/>
  <c r="J88" i="2" s="1"/>
  <c r="M32" i="2"/>
  <c r="G97" i="2"/>
  <c r="G88" i="2"/>
  <c r="M82" i="2"/>
  <c r="M106" i="2" s="1"/>
  <c r="K82" i="2"/>
  <c r="K106" i="2" s="1"/>
  <c r="I106" i="2"/>
  <c r="G69" i="2"/>
  <c r="M69" i="2" s="1"/>
  <c r="G65" i="2"/>
  <c r="G66" i="2" s="1"/>
  <c r="G48" i="2"/>
  <c r="G46" i="2"/>
  <c r="M36" i="2"/>
  <c r="K36" i="2"/>
  <c r="I36" i="2"/>
  <c r="M35" i="2"/>
  <c r="G32" i="2"/>
  <c r="G50" i="2" s="1"/>
  <c r="G17" i="2"/>
  <c r="M68" i="2"/>
  <c r="K115" i="2" l="1"/>
  <c r="I115" i="2"/>
  <c r="J115" i="2" s="1"/>
  <c r="J109" i="2"/>
  <c r="H116" i="2" s="1"/>
  <c r="J94" i="2"/>
  <c r="J92" i="2"/>
  <c r="J91" i="2"/>
  <c r="H97" i="2"/>
  <c r="H98" i="2" s="1"/>
  <c r="H108" i="2" s="1"/>
  <c r="L109" i="2"/>
  <c r="H117" i="2" s="1"/>
  <c r="L91" i="2"/>
  <c r="L92" i="2"/>
  <c r="L94" i="2"/>
  <c r="M40" i="2"/>
  <c r="K19" i="2"/>
  <c r="M17" i="2"/>
  <c r="M19" i="2" s="1"/>
  <c r="M70" i="2"/>
  <c r="M74" i="2" s="1"/>
  <c r="G70" i="2"/>
  <c r="K35" i="2"/>
  <c r="K40" i="2" s="1"/>
  <c r="K49" i="2"/>
  <c r="G19" i="2"/>
  <c r="I69" i="2"/>
  <c r="K69" i="2"/>
  <c r="G47" i="2"/>
  <c r="M102" i="2"/>
  <c r="I116" i="2" l="1"/>
  <c r="J116" i="2" s="1"/>
  <c r="L116" i="2" s="1"/>
  <c r="K116" i="2"/>
  <c r="L115" i="2"/>
  <c r="I117" i="2"/>
  <c r="J117" i="2" s="1"/>
  <c r="L117" i="2" s="1"/>
  <c r="K117" i="2"/>
  <c r="J97" i="2"/>
  <c r="J98" i="2" s="1"/>
  <c r="J108" i="2" s="1"/>
  <c r="L97" i="2"/>
  <c r="L98" i="2" s="1"/>
  <c r="L108" i="2" s="1"/>
  <c r="K50" i="2"/>
  <c r="K102" i="2"/>
  <c r="K46" i="2"/>
  <c r="K48" i="2"/>
  <c r="K62" i="2"/>
  <c r="K60" i="2"/>
  <c r="K64" i="2"/>
  <c r="K47" i="2"/>
  <c r="K63" i="2"/>
  <c r="K61" i="2"/>
  <c r="K59" i="2"/>
  <c r="M104" i="2"/>
  <c r="K68" i="2"/>
  <c r="K70" i="2" s="1"/>
  <c r="K74" i="2" s="1"/>
  <c r="M73" i="2"/>
  <c r="M75" i="2" s="1"/>
  <c r="M105" i="2" s="1"/>
  <c r="G52" i="2"/>
  <c r="G20" i="2"/>
  <c r="J119" i="2" l="1"/>
  <c r="L120" i="2"/>
  <c r="K20" i="2"/>
  <c r="K21" i="2" s="1"/>
  <c r="M20" i="2"/>
  <c r="M21" i="2" s="1"/>
  <c r="M42" i="2" s="1"/>
  <c r="M103" i="2" s="1"/>
  <c r="M107" i="2" s="1"/>
  <c r="K65" i="2"/>
  <c r="K66" i="2" s="1"/>
  <c r="K73" i="2" s="1"/>
  <c r="K75" i="2" s="1"/>
  <c r="K105" i="2" s="1"/>
  <c r="K32" i="2"/>
  <c r="K52" i="2"/>
  <c r="K104" i="2" s="1"/>
  <c r="G21" i="2"/>
  <c r="K42" i="2" l="1"/>
  <c r="K103" i="2" s="1"/>
  <c r="K107" i="2" s="1"/>
  <c r="M86" i="2"/>
  <c r="M87" i="2" s="1"/>
  <c r="K86" i="2" l="1"/>
  <c r="K87" i="2" s="1"/>
  <c r="M88" i="2"/>
  <c r="M109" i="2" s="1"/>
  <c r="H18" i="3" l="1"/>
  <c r="H30" i="3"/>
  <c r="H129" i="2"/>
  <c r="K88" i="2"/>
  <c r="K109" i="2" s="1"/>
  <c r="M94" i="2"/>
  <c r="M92" i="2"/>
  <c r="M91" i="2"/>
  <c r="I129" i="2" l="1"/>
  <c r="J129" i="2" s="1"/>
  <c r="L129" i="2" s="1"/>
  <c r="K129" i="2"/>
  <c r="K30" i="3"/>
  <c r="I30" i="3"/>
  <c r="J30" i="3" s="1"/>
  <c r="L30" i="3" s="1"/>
  <c r="I18" i="3"/>
  <c r="J18" i="3" s="1"/>
  <c r="L18" i="3" s="1"/>
  <c r="K18" i="3"/>
  <c r="H17" i="3"/>
  <c r="H29" i="3"/>
  <c r="H128" i="2"/>
  <c r="K91" i="2"/>
  <c r="K94" i="2"/>
  <c r="K92" i="2"/>
  <c r="M97" i="2"/>
  <c r="H5" i="3"/>
  <c r="H6" i="3"/>
  <c r="I128" i="2" l="1"/>
  <c r="J128" i="2" s="1"/>
  <c r="L128" i="2" s="1"/>
  <c r="K128" i="2"/>
  <c r="K29" i="3"/>
  <c r="I29" i="3"/>
  <c r="J29" i="3" s="1"/>
  <c r="L29" i="3" s="1"/>
  <c r="K17" i="3"/>
  <c r="I17" i="3"/>
  <c r="J17" i="3" s="1"/>
  <c r="L17" i="3" s="1"/>
  <c r="I6" i="3"/>
  <c r="J6" i="3" s="1"/>
  <c r="L6" i="3" s="1"/>
  <c r="K6" i="3"/>
  <c r="I5" i="3"/>
  <c r="K5" i="3"/>
  <c r="K97" i="2"/>
  <c r="K98" i="2" s="1"/>
  <c r="K108" i="2" s="1"/>
  <c r="M98" i="2"/>
  <c r="M108" i="2" s="1"/>
  <c r="J5" i="3" l="1"/>
  <c r="L5" i="3" s="1"/>
  <c r="I40" i="2" l="1"/>
  <c r="I8" i="2"/>
  <c r="I10" i="2" s="1"/>
  <c r="I9" i="2" l="1"/>
  <c r="I13" i="2" s="1"/>
  <c r="I46" i="2" s="1"/>
  <c r="I30" i="2" l="1"/>
  <c r="I25" i="2"/>
  <c r="I24" i="2"/>
  <c r="I26" i="2"/>
  <c r="I59" i="2"/>
  <c r="I68" i="2"/>
  <c r="I70" i="2" s="1"/>
  <c r="I74" i="2" s="1"/>
  <c r="I50" i="2"/>
  <c r="I63" i="2"/>
  <c r="I27" i="2"/>
  <c r="I49" i="2"/>
  <c r="I18" i="2"/>
  <c r="I47" i="2"/>
  <c r="I28" i="2"/>
  <c r="I102" i="2"/>
  <c r="I31" i="2"/>
  <c r="I20" i="2"/>
  <c r="I17" i="2"/>
  <c r="I62" i="2"/>
  <c r="I64" i="2"/>
  <c r="I48" i="2"/>
  <c r="I61" i="2"/>
  <c r="I60" i="2"/>
  <c r="I29" i="2"/>
  <c r="I19" i="2" l="1"/>
  <c r="I21" i="2" s="1"/>
  <c r="I52" i="2"/>
  <c r="I104" i="2" s="1"/>
  <c r="I65" i="2"/>
  <c r="I66" i="2" s="1"/>
  <c r="I73" i="2" s="1"/>
  <c r="I75" i="2" s="1"/>
  <c r="I105" i="2" s="1"/>
  <c r="I32" i="2"/>
  <c r="I42" i="2" l="1"/>
  <c r="I103" i="2" s="1"/>
  <c r="I107" i="2" s="1"/>
  <c r="I86" i="2" s="1"/>
  <c r="I87" i="2" l="1"/>
  <c r="I88" i="2" s="1"/>
  <c r="I92" i="2" s="1"/>
  <c r="I109" i="2" l="1"/>
  <c r="I91" i="2"/>
  <c r="I94" i="2"/>
  <c r="H4" i="3" l="1"/>
  <c r="I4" i="3" s="1"/>
  <c r="J4" i="3" s="1"/>
  <c r="J8" i="3" s="1"/>
  <c r="H28" i="3"/>
  <c r="H16" i="3"/>
  <c r="H127" i="2"/>
  <c r="I97" i="2"/>
  <c r="I98" i="2" s="1"/>
  <c r="I108" i="2" s="1"/>
  <c r="K4" i="3" l="1"/>
  <c r="K28" i="3"/>
  <c r="I28" i="3"/>
  <c r="J28" i="3" s="1"/>
  <c r="K127" i="2"/>
  <c r="I127" i="2"/>
  <c r="J127" i="2" s="1"/>
  <c r="K16" i="3"/>
  <c r="I16" i="3"/>
  <c r="J16" i="3" s="1"/>
  <c r="L4" i="3"/>
  <c r="L9" i="3" s="1"/>
  <c r="L127" i="2" l="1"/>
  <c r="L132" i="2" s="1"/>
  <c r="J131" i="2"/>
  <c r="J20" i="3"/>
  <c r="L16" i="3"/>
  <c r="L21" i="3" s="1"/>
  <c r="L28" i="3"/>
  <c r="L33" i="3" s="1"/>
  <c r="J32" i="3"/>
</calcChain>
</file>

<file path=xl/sharedStrings.xml><?xml version="1.0" encoding="utf-8"?>
<sst xmlns="http://schemas.openxmlformats.org/spreadsheetml/2006/main" count="378" uniqueCount="159">
  <si>
    <t>VALOR ESTIMADO COM BASE NA PLANILHA DE CUSTOS E FORMAÇÃO DE PREÇOS</t>
  </si>
  <si>
    <t>CONTRATAÇÃO DE SERVIÇOS DE CERIMONIAL - MT</t>
  </si>
  <si>
    <t>Grupo</t>
  </si>
  <si>
    <t>Item</t>
  </si>
  <si>
    <t>Cargo</t>
  </si>
  <si>
    <t>CBO</t>
  </si>
  <si>
    <t>Medida</t>
  </si>
  <si>
    <t>Qtd</t>
  </si>
  <si>
    <t>Salário-Base</t>
  </si>
  <si>
    <t>Valor Unitário do Posto</t>
  </si>
  <si>
    <t>Valor Total Mensal¹</t>
  </si>
  <si>
    <t>Valor Total Anual²</t>
  </si>
  <si>
    <t>Valor Unitário do Posto por 5 Anos³</t>
  </si>
  <si>
    <r>
      <t>Valor Total por 5 Anos</t>
    </r>
    <r>
      <rPr>
        <b/>
        <vertAlign val="superscript"/>
        <sz val="11"/>
        <color theme="1"/>
        <rFont val="Calibri"/>
        <family val="2"/>
        <scheme val="minor"/>
      </rPr>
      <t>4</t>
    </r>
  </si>
  <si>
    <t>Nivel I: Técnico de Cerimonial  (Cerimonialista)</t>
  </si>
  <si>
    <t>3548-25</t>
  </si>
  <si>
    <t>Unidade</t>
  </si>
  <si>
    <t>Nível II: Organizador de Cerimonial (Gestor de Evento)</t>
  </si>
  <si>
    <t>3548-20</t>
  </si>
  <si>
    <t>Nível III: Supervisor de Cerimonial (Coord. de evento)</t>
  </si>
  <si>
    <t>1311-15</t>
  </si>
  <si>
    <t>Diárias e Passagens</t>
  </si>
  <si>
    <t>-</t>
  </si>
  <si>
    <t>Total de Postos -&gt;</t>
  </si>
  <si>
    <t>Valor Anual Estimado -&gt;</t>
  </si>
  <si>
    <t>Valor Quinquenal Estimado -&gt;</t>
  </si>
  <si>
    <t>1 - Valor Total Mensal = Valor Unitário do Posto x Quantidade de Postos</t>
  </si>
  <si>
    <t>2 - Valor Total Anual = Valor Total Mensal x 12 meses</t>
  </si>
  <si>
    <t>3 - Valor Unitário do Posto por 5 Anos = Valor Unitário do Posto x 12 meses x 5 anos</t>
  </si>
  <si>
    <t>4 - Valor Total por 5 Anos = Valor Total Anual x 5 anos</t>
  </si>
  <si>
    <t>CONTRATAÇÃO DE SERVIÇOS DE CERIMONIAL  - MPOR</t>
  </si>
  <si>
    <t>CONSOLIDADO CONTRATAÇÃO DE SERVIÇOS DE CERIMONIAL</t>
  </si>
  <si>
    <t>Nível I</t>
  </si>
  <si>
    <t>Nível II</t>
  </si>
  <si>
    <t>Nível III</t>
  </si>
  <si>
    <r>
      <rPr>
        <b/>
        <sz val="11"/>
        <color theme="1"/>
        <rFont val="Calibri"/>
        <family val="2"/>
        <scheme val="minor"/>
      </rPr>
      <t>Valor fixo estimado</t>
    </r>
    <r>
      <rPr>
        <sz val="11"/>
        <color theme="1"/>
        <rFont val="Calibri"/>
        <family val="2"/>
        <scheme val="minor"/>
      </rPr>
      <t xml:space="preserve"> (sem adicionais de Horas Extras e Noturno)</t>
    </r>
  </si>
  <si>
    <r>
      <t xml:space="preserve">Valor variável máximo  estimado </t>
    </r>
    <r>
      <rPr>
        <sz val="11"/>
        <color theme="1"/>
        <rFont val="Calibri"/>
        <family val="2"/>
        <scheme val="minor"/>
      </rPr>
      <t>(com adicionais de Horas Extras e Noturno)</t>
    </r>
  </si>
  <si>
    <t>Módulo 1 - Composição da remuneração</t>
  </si>
  <si>
    <t>Remuneração</t>
  </si>
  <si>
    <t>Quant.</t>
  </si>
  <si>
    <t>Subtotal</t>
  </si>
  <si>
    <t>A</t>
  </si>
  <si>
    <r>
      <t xml:space="preserve">Salário </t>
    </r>
    <r>
      <rPr>
        <sz val="11"/>
        <color theme="1"/>
        <rFont val="Calibri"/>
        <family val="2"/>
        <scheme val="minor"/>
      </rPr>
      <t>(cláusula da CCT/ACT)</t>
    </r>
  </si>
  <si>
    <t>B</t>
  </si>
  <si>
    <r>
      <t>Adicional de Periculosidade</t>
    </r>
    <r>
      <rPr>
        <sz val="11"/>
        <color theme="1"/>
        <rFont val="Calibri"/>
        <family val="2"/>
        <scheme val="minor"/>
      </rPr>
      <t xml:space="preserve"> (30% do salário base)</t>
    </r>
  </si>
  <si>
    <t>C</t>
  </si>
  <si>
    <r>
      <t xml:space="preserve">Adicional  de insalubridade - </t>
    </r>
    <r>
      <rPr>
        <sz val="11"/>
        <color rgb="FF000000"/>
        <rFont val="Calibri"/>
        <family val="2"/>
        <scheme val="minor"/>
      </rPr>
      <t>(10%, 20% ou 40% do salário mín.)</t>
    </r>
  </si>
  <si>
    <t>D</t>
  </si>
  <si>
    <r>
      <t>Adicional noturno -</t>
    </r>
    <r>
      <rPr>
        <sz val="11"/>
        <color rgb="FF000000"/>
        <rFont val="Calibri"/>
        <family val="2"/>
        <scheme val="minor"/>
      </rPr>
      <t>(Salário base + adicionais periculosidade/insalubridade) ÷ 200h (conforme jornada de trabalho da categoria) x 20% x qtde. de hs noturnas).</t>
    </r>
  </si>
  <si>
    <t>E</t>
  </si>
  <si>
    <r>
      <t>Adicional Horas extras 50% -</t>
    </r>
    <r>
      <rPr>
        <sz val="11"/>
        <color rgb="FF000000"/>
        <rFont val="Calibri"/>
        <family val="2"/>
        <scheme val="minor"/>
      </rPr>
      <t>(Salário base + adicionais periculosidade/insalubridade/noturno) ÷ 200h (conforme jornada de trabalho da categoria) x 50% x qtde. de hs extras).</t>
    </r>
  </si>
  <si>
    <t>F</t>
  </si>
  <si>
    <r>
      <t>Adicional Horas extras 100%-</t>
    </r>
    <r>
      <rPr>
        <sz val="11"/>
        <color rgb="FF000000"/>
        <rFont val="Calibri"/>
        <family val="2"/>
        <scheme val="minor"/>
      </rPr>
      <t xml:space="preserve"> (Salário base + adicionais periculosidade/insalubridade/noturno) ÷ 200h (conforme jornada de trabalho da categoria) x 100% x qtde. de hs extras).</t>
    </r>
  </si>
  <si>
    <t>G</t>
  </si>
  <si>
    <r>
      <t xml:space="preserve">Reflexo no DSR - </t>
    </r>
    <r>
      <rPr>
        <sz val="11"/>
        <color rgb="FF000000"/>
        <rFont val="Calibri"/>
        <family val="2"/>
        <scheme val="minor"/>
      </rPr>
      <t>(((valor das horas extras) ÷ nº de dias úteis do mês) x nº RSR do mês)</t>
    </r>
  </si>
  <si>
    <t>H</t>
  </si>
  <si>
    <r>
      <t xml:space="preserve">Outros - </t>
    </r>
    <r>
      <rPr>
        <sz val="11"/>
        <color rgb="FF000000"/>
        <rFont val="Calibri"/>
        <family val="2"/>
        <scheme val="minor"/>
      </rPr>
      <t>Gratificação por Posto</t>
    </r>
  </si>
  <si>
    <t>TOTAL Módulo 1 - Composição da remuneração</t>
  </si>
  <si>
    <t>Módulo 2 - Encargos e Benefícios Anuais, Mensais e Diários</t>
  </si>
  <si>
    <t>2.1</t>
  </si>
  <si>
    <t>13º SALÁRIO, FÉRIAS E ADICIONAL DE FÉRIAS</t>
  </si>
  <si>
    <t>% sobre remuneração</t>
  </si>
  <si>
    <t>13º (décimo terceiro) salário</t>
  </si>
  <si>
    <t>Férias + Adicional de Férias</t>
  </si>
  <si>
    <t>Incidência do submódulo 2.2 sobre o submódulo 2.1</t>
  </si>
  <si>
    <t>TOTAL DO SUBMÓDULO 2.1</t>
  </si>
  <si>
    <t>2.2</t>
  </si>
  <si>
    <t xml:space="preserve">ENCARGOS PREVIDENCIÁRIOS, FGTS E OUTRAS CONTRIBUIÇÕES </t>
  </si>
  <si>
    <t>INSS</t>
  </si>
  <si>
    <t xml:space="preserve">SALÁRIO EDUCAÇÃO </t>
  </si>
  <si>
    <t>SAT</t>
  </si>
  <si>
    <t>SESC ou SESI</t>
  </si>
  <si>
    <t>SENAI - SENAC</t>
  </si>
  <si>
    <t>SEBRAE</t>
  </si>
  <si>
    <t>INCRA</t>
  </si>
  <si>
    <t>FGTS</t>
  </si>
  <si>
    <t>TOTAL DO SUBMÓDULO 2.2</t>
  </si>
  <si>
    <t>2.3</t>
  </si>
  <si>
    <t>BENEFÍCIOS MENSAIS E DIÁRIOS</t>
  </si>
  <si>
    <t>% desconto</t>
  </si>
  <si>
    <t>Unid/dias</t>
  </si>
  <si>
    <t>Valor Unitário</t>
  </si>
  <si>
    <t>Vale transporte</t>
  </si>
  <si>
    <t xml:space="preserve">Auxílio alimentação </t>
  </si>
  <si>
    <t>Auxílio saúde</t>
  </si>
  <si>
    <t>Assistência odontológica</t>
  </si>
  <si>
    <t>Auxílio funeral</t>
  </si>
  <si>
    <t>TOTAL DO SUBMÓDULO 2.3</t>
  </si>
  <si>
    <t>TOTAL Módulo 2 - Encargos e Benefícios Anuais, Mensais e Diários</t>
  </si>
  <si>
    <t>Módulo 3 - Provisão para Rescisão</t>
  </si>
  <si>
    <t>Provisão para rescisão</t>
  </si>
  <si>
    <t>%</t>
  </si>
  <si>
    <t>Total</t>
  </si>
  <si>
    <t xml:space="preserve">Aviso prévio indenizado </t>
  </si>
  <si>
    <t xml:space="preserve">Incidência do FGTS sobre aviso prévio indenizado </t>
  </si>
  <si>
    <t>Multa sobre FGTS e contribuições sociais sobre o aviso prévio indenizado</t>
  </si>
  <si>
    <t>Aviso prévio trabalhado</t>
  </si>
  <si>
    <t>Incidência dos encargos do submódulo 2.2 sobre aviso prévio trabalhado</t>
  </si>
  <si>
    <t>Multa sobre FGTS e contribuições sociais sobre o aviso prévio trabalhado</t>
  </si>
  <si>
    <t>TOTAL Módulo 3 - Insumos Diversos</t>
  </si>
  <si>
    <t>OBS. Conforme entendimento do TCU no Acórdão nº 1.186/2017 - Plenário, a Administração "deve estabelecer na minuta do contrato que a parcela mensal a título de aviso prévio trabalhado será no percentual máximo de 1,94% no primeiro ano, e, em caso de prorrogação do contrato, o percentual máximo dessa parcela será de 0,194% a cada ano de prorrogação, a ser incluído por ocasião da formulação do aditivo da prorrogação do contrato, conforme a Lei 12.506/2011" (Enunciado do Boletim de Jurisprudência nº 176/2017).</t>
  </si>
  <si>
    <t>Módulo 4 - Custo de Reposição do Profissional Ausente</t>
  </si>
  <si>
    <t>4.1</t>
  </si>
  <si>
    <t>Ausências legais</t>
  </si>
  <si>
    <t>Férias (custo do ferista - cobertura do residente)</t>
  </si>
  <si>
    <t>Licença maternidade/paternidade</t>
  </si>
  <si>
    <t>Ausências por acidente de trabalho</t>
  </si>
  <si>
    <t>Ausência por doença</t>
  </si>
  <si>
    <t>Outros especificar</t>
  </si>
  <si>
    <t>TOTAL DO SUBMÓDULO 4.1</t>
  </si>
  <si>
    <t>4.2</t>
  </si>
  <si>
    <t>Intrajornada</t>
  </si>
  <si>
    <t xml:space="preserve">Intervalo para repouso ou alimentação </t>
  </si>
  <si>
    <t>TOTAL DO SUBMÓDULO 4.2</t>
  </si>
  <si>
    <t>Quadro Resumo - Módulo 4 -  Custo da reposição do profissional ausente</t>
  </si>
  <si>
    <t>% da remuneração</t>
  </si>
  <si>
    <t>TOTAL Módulo 4 - Encargos Sociais e Trabalhistas</t>
  </si>
  <si>
    <t>Módulo 5 - Insumos Diversos</t>
  </si>
  <si>
    <t>Insumos diversos</t>
  </si>
  <si>
    <t>Reposição</t>
  </si>
  <si>
    <t>R$ / Mensal</t>
  </si>
  <si>
    <t>Uniformes</t>
  </si>
  <si>
    <t>30 meses</t>
  </si>
  <si>
    <t>Materiais</t>
  </si>
  <si>
    <t>Equipamentos</t>
  </si>
  <si>
    <t>TOTAL Módulo 5 -  Insumos Diversos</t>
  </si>
  <si>
    <t>Módulo 6 -  Custos indiretos, Lucro e Tributos</t>
  </si>
  <si>
    <t>Custos Indiretos, Tributos e Lucro</t>
  </si>
  <si>
    <t>Custos Indiretos (Taxa de Administração Desp. Operacionais)</t>
  </si>
  <si>
    <t>Lucro</t>
  </si>
  <si>
    <t>Subtotal (A+B)</t>
  </si>
  <si>
    <t>Tributos</t>
  </si>
  <si>
    <t>C.1</t>
  </si>
  <si>
    <t>Tributos Federais</t>
  </si>
  <si>
    <t>COFINS</t>
  </si>
  <si>
    <t>PIS</t>
  </si>
  <si>
    <t>C.2</t>
  </si>
  <si>
    <t>Tributos Estaduais</t>
  </si>
  <si>
    <t>ISS</t>
  </si>
  <si>
    <t>C.3</t>
  </si>
  <si>
    <t xml:space="preserve">Tributos Municipais </t>
  </si>
  <si>
    <t>C.4</t>
  </si>
  <si>
    <t>Outros tributos</t>
  </si>
  <si>
    <t>Subtotal (C)</t>
  </si>
  <si>
    <t>TOTAL Módulo 6 - Custos indiretos, Lucro e Tributos</t>
  </si>
  <si>
    <t>QUADRO RESUMO DO CUSTO POR EMPREGADO</t>
  </si>
  <si>
    <t>Mão-de-obra vinculada à execução contratual</t>
  </si>
  <si>
    <t>Nivel I</t>
  </si>
  <si>
    <t>Nivel II</t>
  </si>
  <si>
    <t>Módulo 1 – Composição da Remuneração</t>
  </si>
  <si>
    <t>Módulo 2 – Encargos e Benefícios Anuais, Mensais e Diários Benefícios Mensais e Diários</t>
  </si>
  <si>
    <t>Módulo 3 – Provisão para Rescisão</t>
  </si>
  <si>
    <t>Módulo 4 – Custo de reposição do profissional ausente</t>
  </si>
  <si>
    <t>Módulo 5 - Insumo diversos</t>
  </si>
  <si>
    <t>Módulo 6 – Custos indiretos, tributos e lucro</t>
  </si>
  <si>
    <t>VALOR TOTAL POR EMPREGADO</t>
  </si>
  <si>
    <r>
      <t xml:space="preserve">*Para fins de reserva orçamentária e estimativa do valor do contrato, deve ser considerado o valor máximo estimado </t>
    </r>
    <r>
      <rPr>
        <b/>
        <u/>
        <sz val="11"/>
        <color theme="1"/>
        <rFont val="Calibri"/>
        <family val="2"/>
        <scheme val="minor"/>
      </rPr>
      <t>com</t>
    </r>
    <r>
      <rPr>
        <sz val="11"/>
        <color theme="1"/>
        <rFont val="Calibri"/>
        <family val="2"/>
        <scheme val="minor"/>
      </rPr>
      <t xml:space="preserve"> adicionais de hora extra e norturno.</t>
    </r>
  </si>
  <si>
    <r>
      <t xml:space="preserve">PLANILHA RESUMO DOS VALORES </t>
    </r>
    <r>
      <rPr>
        <b/>
        <u/>
        <sz val="14"/>
        <color theme="1"/>
        <rFont val="Calibri"/>
        <family val="2"/>
        <scheme val="minor"/>
      </rPr>
      <t>SEM INCIDÊNCIA DE ADICIONAL NOTURNO E ADICIONAL DE HORA EXTRA</t>
    </r>
  </si>
  <si>
    <r>
      <t xml:space="preserve">PLANILHA RESUMO DOS VALORES </t>
    </r>
    <r>
      <rPr>
        <b/>
        <u/>
        <sz val="14"/>
        <color theme="1"/>
        <rFont val="Calibri"/>
        <family val="2"/>
        <scheme val="minor"/>
      </rPr>
      <t>COM INCIDÊNCIA DE ADICIONAL NOTURNO E ADICIONAL DE HORA EXTRA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</si>
</sst>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21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9" fontId="2" fillId="4" borderId="1" xfId="3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44" fontId="2" fillId="5" borderId="11" xfId="1" applyFont="1" applyFill="1" applyBorder="1" applyAlignment="1">
      <alignment horizontal="center" vertical="center" wrapText="1"/>
    </xf>
    <xf numFmtId="44" fontId="2" fillId="5" borderId="3" xfId="0" applyNumberFormat="1" applyFont="1" applyFill="1" applyBorder="1" applyAlignment="1">
      <alignment horizontal="center" vertical="center"/>
    </xf>
    <xf numFmtId="0" fontId="7" fillId="0" borderId="10" xfId="4" applyFont="1" applyBorder="1" applyAlignment="1">
      <alignment horizontal="center" vertical="center" wrapText="1"/>
    </xf>
    <xf numFmtId="0" fontId="8" fillId="0" borderId="10" xfId="4" applyFont="1" applyBorder="1" applyAlignment="1">
      <alignment horizontal="left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2" fillId="2" borderId="13" xfId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right" vertical="center"/>
    </xf>
    <xf numFmtId="44" fontId="2" fillId="2" borderId="11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6" xfId="0" applyFont="1" applyBorder="1" applyAlignment="1">
      <alignment vertical="center"/>
    </xf>
    <xf numFmtId="0" fontId="4" fillId="4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0" fontId="0" fillId="0" borderId="2" xfId="0" applyNumberFormat="1" applyBorder="1" applyAlignment="1">
      <alignment horizontal="center" vertical="center" wrapText="1"/>
    </xf>
    <xf numFmtId="10" fontId="2" fillId="4" borderId="2" xfId="0" applyNumberFormat="1" applyFont="1" applyFill="1" applyBorder="1" applyAlignment="1">
      <alignment horizontal="center" vertical="center" wrapText="1"/>
    </xf>
    <xf numFmtId="10" fontId="0" fillId="2" borderId="2" xfId="0" applyNumberFormat="1" applyFill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 wrapText="1"/>
    </xf>
    <xf numFmtId="164" fontId="3" fillId="2" borderId="18" xfId="0" applyNumberFormat="1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 wrapText="1"/>
    </xf>
    <xf numFmtId="164" fontId="2" fillId="5" borderId="18" xfId="0" applyNumberFormat="1" applyFont="1" applyFill="1" applyBorder="1" applyAlignment="1">
      <alignment horizontal="center" vertical="center" wrapText="1"/>
    </xf>
    <xf numFmtId="44" fontId="0" fillId="0" borderId="18" xfId="1" applyFont="1" applyFill="1" applyBorder="1" applyAlignment="1">
      <alignment horizontal="center" vertical="center" wrapText="1"/>
    </xf>
    <xf numFmtId="44" fontId="2" fillId="0" borderId="18" xfId="0" applyNumberFormat="1" applyFont="1" applyBorder="1" applyAlignment="1">
      <alignment horizontal="center" vertical="center" wrapText="1"/>
    </xf>
    <xf numFmtId="44" fontId="0" fillId="0" borderId="18" xfId="0" applyNumberFormat="1" applyBorder="1" applyAlignment="1">
      <alignment horizontal="left" vertical="center" wrapText="1"/>
    </xf>
    <xf numFmtId="44" fontId="2" fillId="4" borderId="18" xfId="0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0" fontId="2" fillId="4" borderId="17" xfId="0" applyNumberFormat="1" applyFont="1" applyFill="1" applyBorder="1" applyAlignment="1">
      <alignment horizontal="center" vertical="center" wrapText="1"/>
    </xf>
    <xf numFmtId="164" fontId="2" fillId="4" borderId="18" xfId="0" applyNumberFormat="1" applyFont="1" applyFill="1" applyBorder="1" applyAlignment="1">
      <alignment horizontal="center" vertical="center" wrapText="1"/>
    </xf>
    <xf numFmtId="164" fontId="0" fillId="2" borderId="18" xfId="0" applyNumberFormat="1" applyFill="1" applyBorder="1" applyAlignment="1">
      <alignment horizontal="center" vertical="center" wrapText="1"/>
    </xf>
    <xf numFmtId="10" fontId="0" fillId="2" borderId="17" xfId="0" applyNumberFormat="1" applyFill="1" applyBorder="1" applyAlignment="1">
      <alignment horizontal="center" vertical="center" wrapText="1"/>
    </xf>
    <xf numFmtId="10" fontId="0" fillId="2" borderId="18" xfId="0" applyNumberFormat="1" applyFill="1" applyBorder="1" applyAlignment="1">
      <alignment horizontal="center" vertical="center" wrapText="1"/>
    </xf>
    <xf numFmtId="164" fontId="0" fillId="4" borderId="18" xfId="0" applyNumberFormat="1" applyFill="1" applyBorder="1" applyAlignment="1">
      <alignment horizontal="center" vertical="center" wrapText="1"/>
    </xf>
    <xf numFmtId="164" fontId="4" fillId="5" borderId="18" xfId="0" applyNumberFormat="1" applyFont="1" applyFill="1" applyBorder="1" applyAlignment="1">
      <alignment horizontal="center" vertical="center" wrapText="1"/>
    </xf>
    <xf numFmtId="164" fontId="2" fillId="2" borderId="18" xfId="0" applyNumberFormat="1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164" fontId="2" fillId="5" borderId="18" xfId="1" applyNumberFormat="1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44" fontId="0" fillId="0" borderId="2" xfId="1" applyFont="1" applyFill="1" applyBorder="1" applyAlignment="1">
      <alignment horizontal="center" vertical="center" wrapText="1"/>
    </xf>
    <xf numFmtId="44" fontId="2" fillId="0" borderId="2" xfId="0" applyNumberFormat="1" applyFont="1" applyBorder="1" applyAlignment="1">
      <alignment horizontal="center" vertical="center" wrapText="1"/>
    </xf>
    <xf numFmtId="44" fontId="0" fillId="0" borderId="2" xfId="0" applyNumberFormat="1" applyBorder="1" applyAlignment="1">
      <alignment horizontal="left" vertical="center" wrapText="1"/>
    </xf>
    <xf numFmtId="44" fontId="2" fillId="4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164" fontId="0" fillId="4" borderId="2" xfId="0" applyNumberForma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5" borderId="2" xfId="1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2" fillId="0" borderId="17" xfId="0" applyNumberFormat="1" applyFont="1" applyBorder="1" applyAlignment="1">
      <alignment horizontal="center" vertical="center" wrapText="1"/>
    </xf>
    <xf numFmtId="164" fontId="2" fillId="5" borderId="17" xfId="0" applyNumberFormat="1" applyFont="1" applyFill="1" applyBorder="1" applyAlignment="1">
      <alignment horizontal="center" vertical="center" wrapText="1"/>
    </xf>
    <xf numFmtId="44" fontId="0" fillId="0" borderId="17" xfId="1" applyFont="1" applyFill="1" applyBorder="1" applyAlignment="1">
      <alignment horizontal="center" vertical="center" wrapText="1"/>
    </xf>
    <xf numFmtId="44" fontId="2" fillId="0" borderId="17" xfId="0" applyNumberFormat="1" applyFont="1" applyBorder="1" applyAlignment="1">
      <alignment horizontal="center" vertical="center" wrapText="1"/>
    </xf>
    <xf numFmtId="44" fontId="0" fillId="0" borderId="17" xfId="0" applyNumberFormat="1" applyBorder="1" applyAlignment="1">
      <alignment horizontal="left" vertical="center" wrapText="1"/>
    </xf>
    <xf numFmtId="44" fontId="2" fillId="4" borderId="17" xfId="0" applyNumberFormat="1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64" fontId="2" fillId="4" borderId="17" xfId="0" applyNumberFormat="1" applyFont="1" applyFill="1" applyBorder="1" applyAlignment="1">
      <alignment horizontal="center" vertical="center" wrapText="1"/>
    </xf>
    <xf numFmtId="164" fontId="0" fillId="2" borderId="17" xfId="0" applyNumberFormat="1" applyFill="1" applyBorder="1" applyAlignment="1">
      <alignment horizontal="center" vertical="center" wrapText="1"/>
    </xf>
    <xf numFmtId="164" fontId="0" fillId="4" borderId="17" xfId="0" applyNumberFormat="1" applyFill="1" applyBorder="1" applyAlignment="1">
      <alignment horizontal="center" vertical="center" wrapText="1"/>
    </xf>
    <xf numFmtId="164" fontId="4" fillId="5" borderId="17" xfId="0" applyNumberFormat="1" applyFont="1" applyFill="1" applyBorder="1" applyAlignment="1">
      <alignment horizontal="center" vertical="center" wrapText="1"/>
    </xf>
    <xf numFmtId="164" fontId="2" fillId="2" borderId="17" xfId="0" applyNumberFormat="1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164" fontId="2" fillId="5" borderId="17" xfId="1" applyNumberFormat="1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4" fontId="2" fillId="2" borderId="0" xfId="1" applyNumberFormat="1" applyFont="1" applyFill="1" applyBorder="1" applyAlignment="1">
      <alignment horizontal="center" vertical="center" wrapText="1"/>
    </xf>
    <xf numFmtId="44" fontId="0" fillId="0" borderId="17" xfId="0" applyNumberFormat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44" fontId="0" fillId="0" borderId="18" xfId="0" applyNumberFormat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right" vertical="center"/>
    </xf>
    <xf numFmtId="0" fontId="2" fillId="5" borderId="30" xfId="0" applyFont="1" applyFill="1" applyBorder="1" applyAlignment="1">
      <alignment horizontal="center" vertical="center" wrapText="1"/>
    </xf>
    <xf numFmtId="44" fontId="2" fillId="5" borderId="30" xfId="1" applyFont="1" applyFill="1" applyBorder="1" applyAlignment="1">
      <alignment horizontal="center" vertical="center" wrapText="1"/>
    </xf>
    <xf numFmtId="44" fontId="2" fillId="2" borderId="30" xfId="1" applyFont="1" applyFill="1" applyBorder="1" applyAlignment="1">
      <alignment horizontal="center" vertical="center" wrapText="1"/>
    </xf>
    <xf numFmtId="44" fontId="2" fillId="2" borderId="31" xfId="1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36" xfId="0" applyBorder="1" applyAlignment="1">
      <alignment horizontal="left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44" fontId="0" fillId="0" borderId="36" xfId="0" applyNumberFormat="1" applyBorder="1" applyAlignment="1">
      <alignment horizontal="center" vertical="center" wrapText="1"/>
    </xf>
    <xf numFmtId="44" fontId="0" fillId="0" borderId="23" xfId="0" applyNumberFormat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44" fontId="2" fillId="5" borderId="37" xfId="1" applyFont="1" applyFill="1" applyBorder="1" applyAlignment="1">
      <alignment horizontal="center" vertical="center" wrapText="1"/>
    </xf>
    <xf numFmtId="44" fontId="2" fillId="2" borderId="37" xfId="1" applyFont="1" applyFill="1" applyBorder="1" applyAlignment="1">
      <alignment horizontal="center" vertical="center" wrapText="1"/>
    </xf>
    <xf numFmtId="44" fontId="2" fillId="2" borderId="38" xfId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2" fillId="2" borderId="19" xfId="1" applyNumberFormat="1" applyFont="1" applyFill="1" applyBorder="1" applyAlignment="1">
      <alignment horizontal="center" vertical="center" wrapText="1"/>
    </xf>
    <xf numFmtId="44" fontId="13" fillId="5" borderId="26" xfId="0" applyNumberFormat="1" applyFont="1" applyFill="1" applyBorder="1" applyAlignment="1">
      <alignment horizontal="center" vertical="center"/>
    </xf>
    <xf numFmtId="44" fontId="0" fillId="0" borderId="0" xfId="0" applyNumberFormat="1"/>
    <xf numFmtId="0" fontId="2" fillId="0" borderId="2" xfId="0" applyFont="1" applyBorder="1" applyAlignment="1">
      <alignment horizontal="center" vertical="center" wrapText="1"/>
    </xf>
    <xf numFmtId="9" fontId="0" fillId="0" borderId="0" xfId="3" applyFont="1" applyAlignment="1">
      <alignment vertical="center"/>
    </xf>
    <xf numFmtId="0" fontId="5" fillId="2" borderId="0" xfId="0" applyFont="1" applyFill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3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9" fontId="2" fillId="0" borderId="1" xfId="3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9" fontId="0" fillId="0" borderId="1" xfId="3" applyFont="1" applyBorder="1" applyAlignment="1">
      <alignment vertical="center" wrapText="1"/>
    </xf>
    <xf numFmtId="165" fontId="0" fillId="0" borderId="1" xfId="2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vertical="center" wrapText="1"/>
    </xf>
    <xf numFmtId="10" fontId="0" fillId="0" borderId="17" xfId="0" applyNumberFormat="1" applyBorder="1" applyAlignment="1">
      <alignment horizontal="center" vertical="center" wrapText="1"/>
    </xf>
    <xf numFmtId="164" fontId="3" fillId="5" borderId="2" xfId="2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9" fontId="0" fillId="0" borderId="1" xfId="3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9" fontId="3" fillId="4" borderId="1" xfId="3" applyFont="1" applyFill="1" applyBorder="1" applyAlignment="1">
      <alignment vertical="center" wrapText="1"/>
    </xf>
    <xf numFmtId="164" fontId="2" fillId="5" borderId="17" xfId="2" applyNumberFormat="1" applyFont="1" applyFill="1" applyBorder="1" applyAlignment="1">
      <alignment horizontal="center" vertical="center" wrapText="1"/>
    </xf>
    <xf numFmtId="9" fontId="2" fillId="4" borderId="1" xfId="3" applyFont="1" applyFill="1" applyBorder="1" applyAlignment="1">
      <alignment vertical="center" wrapText="1"/>
    </xf>
    <xf numFmtId="10" fontId="2" fillId="5" borderId="2" xfId="0" applyNumberFormat="1" applyFont="1" applyFill="1" applyBorder="1" applyAlignment="1">
      <alignment horizontal="center" vertical="center" wrapText="1"/>
    </xf>
    <xf numFmtId="10" fontId="2" fillId="4" borderId="2" xfId="3" applyNumberFormat="1" applyFont="1" applyFill="1" applyBorder="1" applyAlignment="1">
      <alignment horizontal="center" vertical="center" wrapText="1"/>
    </xf>
    <xf numFmtId="10" fontId="2" fillId="4" borderId="17" xfId="3" applyNumberFormat="1" applyFont="1" applyFill="1" applyBorder="1" applyAlignment="1">
      <alignment horizontal="center" vertical="center" wrapText="1"/>
    </xf>
    <xf numFmtId="9" fontId="0" fillId="0" borderId="1" xfId="3" applyFont="1" applyFill="1" applyBorder="1" applyAlignment="1">
      <alignment vertical="center" wrapText="1"/>
    </xf>
    <xf numFmtId="10" fontId="0" fillId="0" borderId="2" xfId="3" applyNumberFormat="1" applyFont="1" applyFill="1" applyBorder="1" applyAlignment="1">
      <alignment horizontal="center" vertical="center" wrapText="1"/>
    </xf>
    <xf numFmtId="164" fontId="0" fillId="0" borderId="17" xfId="3" applyNumberFormat="1" applyFont="1" applyFill="1" applyBorder="1" applyAlignment="1">
      <alignment horizontal="center" vertical="center" wrapText="1"/>
    </xf>
    <xf numFmtId="10" fontId="0" fillId="0" borderId="2" xfId="3" applyNumberFormat="1" applyFont="1" applyBorder="1" applyAlignment="1">
      <alignment horizontal="center" vertical="center" wrapText="1"/>
    </xf>
    <xf numFmtId="164" fontId="0" fillId="0" borderId="17" xfId="3" applyNumberFormat="1" applyFont="1" applyBorder="1" applyAlignment="1">
      <alignment horizontal="center" vertical="center" wrapText="1"/>
    </xf>
    <xf numFmtId="10" fontId="2" fillId="0" borderId="2" xfId="3" applyNumberFormat="1" applyFont="1" applyBorder="1" applyAlignment="1">
      <alignment horizontal="center" vertical="center" wrapText="1"/>
    </xf>
    <xf numFmtId="164" fontId="2" fillId="0" borderId="17" xfId="3" applyNumberFormat="1" applyFont="1" applyBorder="1" applyAlignment="1">
      <alignment horizontal="center" vertical="center" wrapText="1"/>
    </xf>
    <xf numFmtId="164" fontId="2" fillId="4" borderId="17" xfId="3" applyNumberFormat="1" applyFont="1" applyFill="1" applyBorder="1" applyAlignment="1">
      <alignment horizontal="center" vertical="center" wrapText="1"/>
    </xf>
    <xf numFmtId="10" fontId="0" fillId="4" borderId="2" xfId="0" applyNumberFormat="1" applyFill="1" applyBorder="1" applyAlignment="1">
      <alignment horizontal="center" vertical="center" wrapText="1"/>
    </xf>
    <xf numFmtId="10" fontId="0" fillId="4" borderId="17" xfId="0" applyNumberFormat="1" applyFill="1" applyBorder="1" applyAlignment="1">
      <alignment horizontal="center" vertical="center" wrapText="1"/>
    </xf>
    <xf numFmtId="10" fontId="0" fillId="0" borderId="17" xfId="3" applyNumberFormat="1" applyFont="1" applyBorder="1" applyAlignment="1">
      <alignment horizontal="center" vertical="center" wrapText="1"/>
    </xf>
    <xf numFmtId="9" fontId="0" fillId="0" borderId="2" xfId="0" applyNumberFormat="1" applyBorder="1" applyAlignment="1">
      <alignment horizontal="center" vertical="center" wrapText="1"/>
    </xf>
    <xf numFmtId="9" fontId="0" fillId="0" borderId="17" xfId="0" applyNumberFormat="1" applyBorder="1" applyAlignment="1">
      <alignment horizontal="center" vertical="center" wrapText="1"/>
    </xf>
    <xf numFmtId="10" fontId="2" fillId="0" borderId="17" xfId="0" applyNumberFormat="1" applyFont="1" applyBorder="1" applyAlignment="1">
      <alignment horizontal="center" vertical="center" wrapText="1"/>
    </xf>
    <xf numFmtId="44" fontId="0" fillId="0" borderId="2" xfId="0" applyNumberFormat="1" applyBorder="1" applyAlignment="1">
      <alignment horizontal="center" vertical="center" wrapText="1"/>
    </xf>
    <xf numFmtId="10" fontId="2" fillId="2" borderId="2" xfId="0" applyNumberFormat="1" applyFont="1" applyFill="1" applyBorder="1" applyAlignment="1">
      <alignment horizontal="center" vertical="center" wrapText="1"/>
    </xf>
    <xf numFmtId="10" fontId="2" fillId="2" borderId="17" xfId="0" applyNumberFormat="1" applyFont="1" applyFill="1" applyBorder="1" applyAlignment="1">
      <alignment horizontal="center" vertical="center" wrapText="1"/>
    </xf>
    <xf numFmtId="9" fontId="0" fillId="0" borderId="0" xfId="3" applyFont="1" applyBorder="1" applyAlignment="1">
      <alignment vertical="center" wrapText="1"/>
    </xf>
    <xf numFmtId="10" fontId="0" fillId="0" borderId="0" xfId="0" applyNumberFormat="1" applyAlignment="1">
      <alignment horizontal="center" vertical="center" wrapText="1"/>
    </xf>
    <xf numFmtId="0" fontId="2" fillId="5" borderId="8" xfId="0" applyFont="1" applyFill="1" applyBorder="1" applyAlignment="1">
      <alignment horizontal="right" vertical="center"/>
    </xf>
    <xf numFmtId="0" fontId="2" fillId="5" borderId="9" xfId="0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5" borderId="2" xfId="0" applyFont="1" applyFill="1" applyBorder="1" applyAlignment="1">
      <alignment horizontal="right" vertical="center" wrapText="1"/>
    </xf>
    <xf numFmtId="0" fontId="2" fillId="5" borderId="4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right" vertical="center" wrapText="1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" fillId="5" borderId="21" xfId="0" applyFont="1" applyFill="1" applyBorder="1" applyAlignment="1">
      <alignment horizontal="right" vertical="center" wrapText="1"/>
    </xf>
    <xf numFmtId="0" fontId="2" fillId="5" borderId="22" xfId="0" applyFont="1" applyFill="1" applyBorder="1" applyAlignment="1">
      <alignment horizontal="right" vertical="center" wrapText="1"/>
    </xf>
    <xf numFmtId="0" fontId="2" fillId="5" borderId="24" xfId="0" applyFont="1" applyFill="1" applyBorder="1" applyAlignment="1">
      <alignment horizontal="right" vertical="center"/>
    </xf>
    <xf numFmtId="0" fontId="2" fillId="5" borderId="25" xfId="0" applyFont="1" applyFill="1" applyBorder="1" applyAlignment="1">
      <alignment horizontal="right" vertical="center"/>
    </xf>
    <xf numFmtId="0" fontId="2" fillId="5" borderId="19" xfId="0" applyFont="1" applyFill="1" applyBorder="1" applyAlignment="1">
      <alignment horizontal="right" vertical="center" wrapText="1"/>
    </xf>
    <xf numFmtId="0" fontId="2" fillId="5" borderId="0" xfId="0" applyFont="1" applyFill="1" applyAlignment="1">
      <alignment horizontal="right" vertical="center" wrapText="1"/>
    </xf>
  </cellXfs>
  <cellStyles count="5">
    <cellStyle name="Moeda" xfId="1" builtinId="4"/>
    <cellStyle name="Normal" xfId="0" builtinId="0"/>
    <cellStyle name="Normal 2" xfId="4" xr:uid="{EFA1825C-45F7-40A8-BADA-DE35F428E41B}"/>
    <cellStyle name="Porcentagem" xfId="3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B6C88-A505-451D-B56D-15DB4756E125}">
  <dimension ref="A1:O35"/>
  <sheetViews>
    <sheetView showGridLines="0" showWhiteSpace="0" zoomScaleNormal="100" workbookViewId="0">
      <selection activeCell="N12" sqref="N12"/>
    </sheetView>
  </sheetViews>
  <sheetFormatPr defaultRowHeight="15" x14ac:dyDescent="0.25"/>
  <cols>
    <col min="1" max="1" width="6.5703125" bestFit="1" customWidth="1"/>
    <col min="2" max="2" width="4.85546875" customWidth="1"/>
    <col min="3" max="3" width="48.5703125" customWidth="1"/>
    <col min="4" max="4" width="7.7109375" customWidth="1"/>
    <col min="5" max="5" width="8.42578125" customWidth="1"/>
    <col min="6" max="6" width="4.28515625" bestFit="1" customWidth="1"/>
    <col min="7" max="7" width="11.85546875" customWidth="1"/>
    <col min="8" max="9" width="13.5703125" customWidth="1"/>
    <col min="10" max="10" width="15.42578125" customWidth="1"/>
    <col min="11" max="12" width="18.7109375" customWidth="1"/>
    <col min="13" max="14" width="15.85546875" customWidth="1"/>
    <col min="15" max="15" width="26.5703125" customWidth="1"/>
    <col min="16" max="17" width="15.85546875" customWidth="1"/>
    <col min="18" max="18" width="4.28515625" bestFit="1" customWidth="1"/>
    <col min="19" max="19" width="12.42578125" customWidth="1"/>
    <col min="20" max="20" width="7.140625" bestFit="1" customWidth="1"/>
    <col min="21" max="21" width="13.5703125" bestFit="1" customWidth="1"/>
    <col min="22" max="22" width="14.42578125" customWidth="1"/>
    <col min="23" max="23" width="18.140625" customWidth="1"/>
  </cols>
  <sheetData>
    <row r="1" spans="1:13" ht="32.25" customHeight="1" x14ac:dyDescent="0.25">
      <c r="A1" s="174" t="s">
        <v>0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</row>
    <row r="2" spans="1:13" ht="21.75" customHeight="1" x14ac:dyDescent="0.25">
      <c r="A2" s="166" t="s">
        <v>1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8"/>
    </row>
    <row r="3" spans="1:13" ht="37.5" customHeight="1" x14ac:dyDescent="0.25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12</v>
      </c>
      <c r="L3" s="2" t="s">
        <v>13</v>
      </c>
    </row>
    <row r="4" spans="1:13" ht="21.75" customHeight="1" x14ac:dyDescent="0.25">
      <c r="A4" s="169">
        <v>1</v>
      </c>
      <c r="B4" s="4">
        <v>1</v>
      </c>
      <c r="C4" s="3" t="s">
        <v>14</v>
      </c>
      <c r="D4" s="1" t="s">
        <v>15</v>
      </c>
      <c r="E4" s="1" t="s">
        <v>16</v>
      </c>
      <c r="F4" s="1">
        <v>9</v>
      </c>
      <c r="G4" s="16">
        <f>Planilha!I5</f>
        <v>4087.04</v>
      </c>
      <c r="H4" s="16">
        <f>Planilha!I109</f>
        <v>11595.54</v>
      </c>
      <c r="I4" s="16">
        <f>H4*F4</f>
        <v>104359.86000000002</v>
      </c>
      <c r="J4" s="16">
        <f>I4*12</f>
        <v>1252318.3200000003</v>
      </c>
      <c r="K4" s="16">
        <f>H4*12*5</f>
        <v>695732.4</v>
      </c>
      <c r="L4" s="16">
        <f>SUM(J4*5)</f>
        <v>6261591.6000000015</v>
      </c>
    </row>
    <row r="5" spans="1:13" ht="21.75" customHeight="1" x14ac:dyDescent="0.25">
      <c r="A5" s="169"/>
      <c r="B5" s="4">
        <v>2</v>
      </c>
      <c r="C5" s="3" t="s">
        <v>17</v>
      </c>
      <c r="D5" s="1" t="s">
        <v>18</v>
      </c>
      <c r="E5" s="1" t="s">
        <v>16</v>
      </c>
      <c r="F5" s="1">
        <v>11</v>
      </c>
      <c r="G5" s="16">
        <f>Planilha!K5</f>
        <v>6777.39</v>
      </c>
      <c r="H5" s="16">
        <f>Planilha!K109</f>
        <v>18466.810000000001</v>
      </c>
      <c r="I5" s="16">
        <f>H5*F5</f>
        <v>203134.91</v>
      </c>
      <c r="J5" s="16">
        <f>I5*12</f>
        <v>2437618.92</v>
      </c>
      <c r="K5" s="16">
        <f>H5*12*5</f>
        <v>1108008.6000000001</v>
      </c>
      <c r="L5" s="16">
        <f t="shared" ref="L5:L7" si="0">SUM(J5*5)</f>
        <v>12188094.6</v>
      </c>
    </row>
    <row r="6" spans="1:13" ht="21.75" customHeight="1" x14ac:dyDescent="0.25">
      <c r="A6" s="169"/>
      <c r="B6" s="4">
        <v>3</v>
      </c>
      <c r="C6" s="3" t="s">
        <v>19</v>
      </c>
      <c r="D6" s="1" t="s">
        <v>20</v>
      </c>
      <c r="E6" s="1" t="s">
        <v>16</v>
      </c>
      <c r="F6" s="1">
        <v>1</v>
      </c>
      <c r="G6" s="16">
        <f>Planilha!M5</f>
        <v>8128.6</v>
      </c>
      <c r="H6" s="16">
        <f>Planilha!M109</f>
        <v>21917.82</v>
      </c>
      <c r="I6" s="16">
        <f>H6*F6</f>
        <v>21917.82</v>
      </c>
      <c r="J6" s="16">
        <f t="shared" ref="J6:J7" si="1">I6*12</f>
        <v>263013.83999999997</v>
      </c>
      <c r="K6" s="16">
        <f>H6*12*5</f>
        <v>1315069.1999999997</v>
      </c>
      <c r="L6" s="16">
        <f t="shared" si="0"/>
        <v>1315069.1999999997</v>
      </c>
    </row>
    <row r="7" spans="1:13" ht="21.75" customHeight="1" x14ac:dyDescent="0.25">
      <c r="A7" s="170"/>
      <c r="B7" s="18">
        <v>4</v>
      </c>
      <c r="C7" s="19" t="s">
        <v>21</v>
      </c>
      <c r="D7" s="20"/>
      <c r="E7" s="20" t="s">
        <v>16</v>
      </c>
      <c r="F7" s="20">
        <v>21</v>
      </c>
      <c r="G7" s="17" t="s">
        <v>22</v>
      </c>
      <c r="H7" s="16">
        <v>2393.5100000000002</v>
      </c>
      <c r="I7" s="16">
        <f>F7*H7</f>
        <v>50263.710000000006</v>
      </c>
      <c r="J7" s="16">
        <f t="shared" si="1"/>
        <v>603164.52</v>
      </c>
      <c r="K7" s="16">
        <f>H7*12*5</f>
        <v>143610.6</v>
      </c>
      <c r="L7" s="16">
        <f t="shared" si="0"/>
        <v>3015822.6</v>
      </c>
    </row>
    <row r="8" spans="1:13" s="21" customFormat="1" ht="18" customHeight="1" x14ac:dyDescent="0.25">
      <c r="A8" s="171" t="s">
        <v>23</v>
      </c>
      <c r="B8" s="172"/>
      <c r="C8" s="172"/>
      <c r="D8" s="172"/>
      <c r="E8" s="172"/>
      <c r="F8" s="12">
        <v>21</v>
      </c>
      <c r="G8" s="173" t="s">
        <v>24</v>
      </c>
      <c r="H8" s="173"/>
      <c r="I8" s="173"/>
      <c r="J8" s="8">
        <f>ROUND(SUM(J4:J7),2)</f>
        <v>4556115.5999999996</v>
      </c>
      <c r="K8" s="24"/>
      <c r="L8" s="22"/>
      <c r="M8" s="115"/>
    </row>
    <row r="9" spans="1:13" s="21" customFormat="1" ht="18" customHeight="1" x14ac:dyDescent="0.25">
      <c r="A9" s="163" t="s">
        <v>25</v>
      </c>
      <c r="B9" s="164"/>
      <c r="C9" s="164"/>
      <c r="D9" s="164"/>
      <c r="E9" s="164"/>
      <c r="F9" s="164"/>
      <c r="G9" s="165"/>
      <c r="H9" s="165"/>
      <c r="I9" s="165"/>
      <c r="J9" s="165"/>
      <c r="K9" s="23"/>
      <c r="L9" s="9">
        <f>SUM(L4:L7)</f>
        <v>22780578.000000004</v>
      </c>
    </row>
    <row r="10" spans="1:13" s="21" customFormat="1" ht="15.75" customHeight="1" x14ac:dyDescent="0.25">
      <c r="A10" s="26" t="s">
        <v>26</v>
      </c>
      <c r="B10" s="26"/>
      <c r="C10" s="26"/>
      <c r="D10" s="26"/>
      <c r="E10" s="26"/>
      <c r="F10" s="26"/>
      <c r="G10" s="26"/>
      <c r="H10" s="25" t="s">
        <v>27</v>
      </c>
      <c r="I10" s="26"/>
      <c r="J10" s="26"/>
      <c r="K10" s="26"/>
      <c r="L10" s="26"/>
    </row>
    <row r="11" spans="1:13" s="21" customFormat="1" ht="15.75" customHeight="1" x14ac:dyDescent="0.25">
      <c r="A11" s="25" t="s">
        <v>28</v>
      </c>
      <c r="B11" s="25"/>
      <c r="C11" s="25"/>
      <c r="D11" s="25"/>
      <c r="E11" s="25"/>
      <c r="F11" s="25"/>
      <c r="G11" s="25"/>
      <c r="H11" s="25" t="s">
        <v>29</v>
      </c>
      <c r="I11" s="25"/>
      <c r="J11" s="25"/>
      <c r="K11" s="25"/>
      <c r="L11" s="25"/>
    </row>
    <row r="12" spans="1:13" s="21" customFormat="1" ht="15.75" customHeight="1" x14ac:dyDescent="0.25"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</row>
    <row r="13" spans="1:13" s="21" customFormat="1" ht="15.75" customHeight="1" x14ac:dyDescent="0.25"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</row>
    <row r="14" spans="1:13" ht="21.75" customHeight="1" x14ac:dyDescent="0.25">
      <c r="A14" s="166" t="s">
        <v>30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8"/>
    </row>
    <row r="15" spans="1:13" ht="32.25" customHeight="1" x14ac:dyDescent="0.25">
      <c r="A15" s="13" t="s">
        <v>2</v>
      </c>
      <c r="B15" s="13" t="s">
        <v>3</v>
      </c>
      <c r="C15" s="13" t="s">
        <v>4</v>
      </c>
      <c r="D15" s="13" t="s">
        <v>5</v>
      </c>
      <c r="E15" s="13" t="s">
        <v>6</v>
      </c>
      <c r="F15" s="13" t="s">
        <v>7</v>
      </c>
      <c r="G15" s="13" t="s">
        <v>8</v>
      </c>
      <c r="H15" s="13" t="s">
        <v>9</v>
      </c>
      <c r="I15" s="13" t="s">
        <v>10</v>
      </c>
      <c r="J15" s="13" t="s">
        <v>11</v>
      </c>
      <c r="K15" s="13" t="s">
        <v>12</v>
      </c>
      <c r="L15" s="2" t="s">
        <v>13</v>
      </c>
    </row>
    <row r="16" spans="1:13" ht="21.75" customHeight="1" x14ac:dyDescent="0.25">
      <c r="A16" s="169">
        <v>1</v>
      </c>
      <c r="B16" s="4">
        <v>1</v>
      </c>
      <c r="C16" s="3" t="s">
        <v>14</v>
      </c>
      <c r="D16" s="1" t="s">
        <v>15</v>
      </c>
      <c r="E16" s="1" t="s">
        <v>16</v>
      </c>
      <c r="F16" s="1">
        <v>4</v>
      </c>
      <c r="G16" s="16">
        <f>Planilha!I5</f>
        <v>4087.04</v>
      </c>
      <c r="H16" s="16">
        <f>Planilha!I109</f>
        <v>11595.54</v>
      </c>
      <c r="I16" s="16">
        <f>H16*F16</f>
        <v>46382.16</v>
      </c>
      <c r="J16" s="16">
        <f>I16*12</f>
        <v>556585.92000000004</v>
      </c>
      <c r="K16" s="16">
        <f>H16*12*5</f>
        <v>695732.4</v>
      </c>
      <c r="L16" s="16">
        <f>SUM(J16*5)</f>
        <v>2782929.6</v>
      </c>
    </row>
    <row r="17" spans="1:15" ht="21.75" customHeight="1" x14ac:dyDescent="0.25">
      <c r="A17" s="169"/>
      <c r="B17" s="4">
        <v>2</v>
      </c>
      <c r="C17" s="3" t="s">
        <v>17</v>
      </c>
      <c r="D17" s="1" t="s">
        <v>18</v>
      </c>
      <c r="E17" s="1" t="s">
        <v>16</v>
      </c>
      <c r="F17" s="1">
        <v>8</v>
      </c>
      <c r="G17" s="16">
        <f>Planilha!K5</f>
        <v>6777.39</v>
      </c>
      <c r="H17" s="16">
        <f>Planilha!K109</f>
        <v>18466.810000000001</v>
      </c>
      <c r="I17" s="16">
        <f>H17*F17</f>
        <v>147734.48000000001</v>
      </c>
      <c r="J17" s="16">
        <f>I17*12</f>
        <v>1772813.7600000002</v>
      </c>
      <c r="K17" s="16">
        <f>H17*12*5</f>
        <v>1108008.6000000001</v>
      </c>
      <c r="L17" s="16">
        <f t="shared" ref="L17:L19" si="2">SUM(J17*5)</f>
        <v>8864068.8000000007</v>
      </c>
    </row>
    <row r="18" spans="1:15" ht="21.75" customHeight="1" x14ac:dyDescent="0.25">
      <c r="A18" s="169"/>
      <c r="B18" s="4">
        <v>3</v>
      </c>
      <c r="C18" s="3" t="s">
        <v>19</v>
      </c>
      <c r="D18" s="1" t="s">
        <v>20</v>
      </c>
      <c r="E18" s="1" t="s">
        <v>16</v>
      </c>
      <c r="F18" s="1">
        <v>1</v>
      </c>
      <c r="G18" s="16">
        <f>Planilha!M5</f>
        <v>8128.6</v>
      </c>
      <c r="H18" s="16">
        <f>Planilha!M109</f>
        <v>21917.82</v>
      </c>
      <c r="I18" s="16">
        <f>H18*F18</f>
        <v>21917.82</v>
      </c>
      <c r="J18" s="16">
        <f t="shared" ref="J18:J19" si="3">I18*12</f>
        <v>263013.83999999997</v>
      </c>
      <c r="K18" s="16">
        <f>H18*12*5</f>
        <v>1315069.1999999997</v>
      </c>
      <c r="L18" s="16">
        <f t="shared" si="2"/>
        <v>1315069.1999999997</v>
      </c>
    </row>
    <row r="19" spans="1:15" ht="21.75" customHeight="1" x14ac:dyDescent="0.25">
      <c r="A19" s="170"/>
      <c r="B19" s="18">
        <v>4</v>
      </c>
      <c r="C19" s="19" t="s">
        <v>21</v>
      </c>
      <c r="D19" s="20"/>
      <c r="E19" s="20" t="s">
        <v>16</v>
      </c>
      <c r="F19" s="20">
        <v>13</v>
      </c>
      <c r="G19" s="17" t="s">
        <v>22</v>
      </c>
      <c r="H19" s="16">
        <v>2393.5100000000002</v>
      </c>
      <c r="I19" s="16">
        <f>F19*H19</f>
        <v>31115.630000000005</v>
      </c>
      <c r="J19" s="16">
        <f t="shared" si="3"/>
        <v>373387.56000000006</v>
      </c>
      <c r="K19" s="16">
        <f>H19*12*5</f>
        <v>143610.6</v>
      </c>
      <c r="L19" s="16">
        <f t="shared" si="2"/>
        <v>1866937.8000000003</v>
      </c>
    </row>
    <row r="20" spans="1:15" s="21" customFormat="1" ht="18" customHeight="1" x14ac:dyDescent="0.25">
      <c r="A20" s="171" t="s">
        <v>23</v>
      </c>
      <c r="B20" s="172"/>
      <c r="C20" s="172"/>
      <c r="D20" s="172"/>
      <c r="E20" s="172"/>
      <c r="F20" s="12">
        <v>13</v>
      </c>
      <c r="G20" s="173" t="s">
        <v>24</v>
      </c>
      <c r="H20" s="173"/>
      <c r="I20" s="173"/>
      <c r="J20" s="8">
        <f>ROUND(SUM(J16:J19),2)</f>
        <v>2965801.08</v>
      </c>
      <c r="K20" s="24"/>
      <c r="L20" s="22"/>
    </row>
    <row r="21" spans="1:15" s="21" customFormat="1" ht="18" customHeight="1" x14ac:dyDescent="0.25">
      <c r="A21" s="163" t="s">
        <v>25</v>
      </c>
      <c r="B21" s="164"/>
      <c r="C21" s="164"/>
      <c r="D21" s="164"/>
      <c r="E21" s="164"/>
      <c r="F21" s="164"/>
      <c r="G21" s="165"/>
      <c r="H21" s="165"/>
      <c r="I21" s="165"/>
      <c r="J21" s="165"/>
      <c r="K21" s="23"/>
      <c r="L21" s="9">
        <f>SUM(L16:L19)</f>
        <v>14829005.4</v>
      </c>
    </row>
    <row r="22" spans="1:15" x14ac:dyDescent="0.25">
      <c r="A22" s="26" t="s">
        <v>26</v>
      </c>
      <c r="B22" s="26"/>
      <c r="C22" s="26"/>
      <c r="D22" s="26"/>
      <c r="E22" s="26"/>
      <c r="F22" s="26"/>
      <c r="G22" s="26"/>
      <c r="H22" s="25" t="s">
        <v>27</v>
      </c>
      <c r="I22" s="26"/>
      <c r="J22" s="26"/>
      <c r="K22" s="26"/>
      <c r="L22" s="26"/>
    </row>
    <row r="23" spans="1:15" x14ac:dyDescent="0.25">
      <c r="A23" s="25" t="s">
        <v>28</v>
      </c>
      <c r="B23" s="25"/>
      <c r="C23" s="25"/>
      <c r="D23" s="25"/>
      <c r="E23" s="25"/>
      <c r="F23" s="25"/>
      <c r="G23" s="25"/>
      <c r="H23" s="25" t="s">
        <v>29</v>
      </c>
      <c r="I23" s="25"/>
      <c r="J23" s="25"/>
      <c r="K23" s="25"/>
      <c r="L23" s="25"/>
      <c r="O23" s="113"/>
    </row>
    <row r="26" spans="1:15" ht="21.75" customHeight="1" x14ac:dyDescent="0.25">
      <c r="A26" s="166" t="s">
        <v>31</v>
      </c>
      <c r="B26" s="167"/>
      <c r="C26" s="167"/>
      <c r="D26" s="167"/>
      <c r="E26" s="167"/>
      <c r="F26" s="167"/>
      <c r="G26" s="167"/>
      <c r="H26" s="167"/>
      <c r="I26" s="167"/>
      <c r="J26" s="167"/>
      <c r="K26" s="167"/>
      <c r="L26" s="168"/>
    </row>
    <row r="27" spans="1:15" ht="32.25" x14ac:dyDescent="0.25">
      <c r="A27" s="13" t="s">
        <v>2</v>
      </c>
      <c r="B27" s="13" t="s">
        <v>3</v>
      </c>
      <c r="C27" s="13" t="s">
        <v>4</v>
      </c>
      <c r="D27" s="13" t="s">
        <v>5</v>
      </c>
      <c r="E27" s="13" t="s">
        <v>6</v>
      </c>
      <c r="F27" s="13" t="s">
        <v>7</v>
      </c>
      <c r="G27" s="13" t="s">
        <v>8</v>
      </c>
      <c r="H27" s="13" t="s">
        <v>9</v>
      </c>
      <c r="I27" s="13" t="s">
        <v>10</v>
      </c>
      <c r="J27" s="13" t="s">
        <v>11</v>
      </c>
      <c r="K27" s="13" t="s">
        <v>12</v>
      </c>
      <c r="L27" s="2" t="s">
        <v>13</v>
      </c>
    </row>
    <row r="28" spans="1:15" ht="21.75" customHeight="1" x14ac:dyDescent="0.25">
      <c r="A28" s="169">
        <v>1</v>
      </c>
      <c r="B28" s="4">
        <v>1</v>
      </c>
      <c r="C28" s="3" t="s">
        <v>14</v>
      </c>
      <c r="D28" s="1" t="s">
        <v>15</v>
      </c>
      <c r="E28" s="1" t="s">
        <v>16</v>
      </c>
      <c r="F28" s="1">
        <f>F4+F16</f>
        <v>13</v>
      </c>
      <c r="G28" s="16">
        <f>Planilha!I5</f>
        <v>4087.04</v>
      </c>
      <c r="H28" s="16">
        <f>Planilha!I109</f>
        <v>11595.54</v>
      </c>
      <c r="I28" s="16">
        <f>H28*F28</f>
        <v>150742.02000000002</v>
      </c>
      <c r="J28" s="16">
        <f>I28*12</f>
        <v>1808904.2400000002</v>
      </c>
      <c r="K28" s="16">
        <f>H28*12*5</f>
        <v>695732.4</v>
      </c>
      <c r="L28" s="16">
        <f>SUM(J28*5)</f>
        <v>9044521.2000000011</v>
      </c>
    </row>
    <row r="29" spans="1:15" ht="21.75" customHeight="1" x14ac:dyDescent="0.25">
      <c r="A29" s="169"/>
      <c r="B29" s="4">
        <v>2</v>
      </c>
      <c r="C29" s="3" t="s">
        <v>17</v>
      </c>
      <c r="D29" s="1" t="s">
        <v>18</v>
      </c>
      <c r="E29" s="1" t="s">
        <v>16</v>
      </c>
      <c r="F29" s="1">
        <f>F5+F17</f>
        <v>19</v>
      </c>
      <c r="G29" s="16">
        <f>Planilha!K5</f>
        <v>6777.39</v>
      </c>
      <c r="H29" s="16">
        <f>Planilha!K109</f>
        <v>18466.810000000001</v>
      </c>
      <c r="I29" s="16">
        <f>H29*F29</f>
        <v>350869.39</v>
      </c>
      <c r="J29" s="16">
        <f>I29*12</f>
        <v>4210432.68</v>
      </c>
      <c r="K29" s="16">
        <f>H29*12*5</f>
        <v>1108008.6000000001</v>
      </c>
      <c r="L29" s="16">
        <f t="shared" ref="L29:L31" si="4">SUM(J29*5)</f>
        <v>21052163.399999999</v>
      </c>
    </row>
    <row r="30" spans="1:15" ht="21.75" customHeight="1" x14ac:dyDescent="0.25">
      <c r="A30" s="169"/>
      <c r="B30" s="4">
        <v>3</v>
      </c>
      <c r="C30" s="3" t="s">
        <v>19</v>
      </c>
      <c r="D30" s="1" t="s">
        <v>20</v>
      </c>
      <c r="E30" s="1" t="s">
        <v>16</v>
      </c>
      <c r="F30" s="1">
        <f>F6+F18</f>
        <v>2</v>
      </c>
      <c r="G30" s="16">
        <f>Planilha!M5</f>
        <v>8128.6</v>
      </c>
      <c r="H30" s="16">
        <f>Planilha!M109</f>
        <v>21917.82</v>
      </c>
      <c r="I30" s="16">
        <f>H30*F30</f>
        <v>43835.64</v>
      </c>
      <c r="J30" s="16">
        <f t="shared" ref="J30:J31" si="5">I30*12</f>
        <v>526027.67999999993</v>
      </c>
      <c r="K30" s="16">
        <f>H30*12*5</f>
        <v>1315069.1999999997</v>
      </c>
      <c r="L30" s="16">
        <f t="shared" si="4"/>
        <v>2630138.3999999994</v>
      </c>
    </row>
    <row r="31" spans="1:15" ht="21.75" customHeight="1" x14ac:dyDescent="0.25">
      <c r="A31" s="170"/>
      <c r="B31" s="18">
        <v>4</v>
      </c>
      <c r="C31" s="19" t="s">
        <v>21</v>
      </c>
      <c r="D31" s="20"/>
      <c r="E31" s="20" t="s">
        <v>16</v>
      </c>
      <c r="F31" s="20">
        <f>F7+F19</f>
        <v>34</v>
      </c>
      <c r="G31" s="17" t="s">
        <v>22</v>
      </c>
      <c r="H31" s="16">
        <v>2393.5100000000002</v>
      </c>
      <c r="I31" s="16">
        <f>F31*H31</f>
        <v>81379.340000000011</v>
      </c>
      <c r="J31" s="16">
        <f t="shared" si="5"/>
        <v>976552.08000000007</v>
      </c>
      <c r="K31" s="16">
        <f>H31*12*5</f>
        <v>143610.6</v>
      </c>
      <c r="L31" s="16">
        <f t="shared" si="4"/>
        <v>4882760.4000000004</v>
      </c>
    </row>
    <row r="32" spans="1:15" s="21" customFormat="1" ht="18" customHeight="1" x14ac:dyDescent="0.25">
      <c r="A32" s="171" t="s">
        <v>23</v>
      </c>
      <c r="B32" s="172"/>
      <c r="C32" s="172"/>
      <c r="D32" s="172"/>
      <c r="E32" s="172"/>
      <c r="F32" s="12">
        <f>F8+F20</f>
        <v>34</v>
      </c>
      <c r="G32" s="173" t="s">
        <v>24</v>
      </c>
      <c r="H32" s="173"/>
      <c r="I32" s="173"/>
      <c r="J32" s="8">
        <f>ROUND(SUM(J28:J31),2)</f>
        <v>7521916.6799999997</v>
      </c>
      <c r="K32" s="24"/>
      <c r="L32" s="22"/>
    </row>
    <row r="33" spans="1:12" s="21" customFormat="1" ht="18" customHeight="1" x14ac:dyDescent="0.25">
      <c r="A33" s="163" t="s">
        <v>25</v>
      </c>
      <c r="B33" s="164"/>
      <c r="C33" s="164"/>
      <c r="D33" s="164"/>
      <c r="E33" s="164"/>
      <c r="F33" s="164"/>
      <c r="G33" s="165"/>
      <c r="H33" s="165"/>
      <c r="I33" s="165"/>
      <c r="J33" s="165"/>
      <c r="K33" s="23"/>
      <c r="L33" s="9">
        <f>SUM(L28:L31)</f>
        <v>37609583.399999999</v>
      </c>
    </row>
    <row r="34" spans="1:12" x14ac:dyDescent="0.25">
      <c r="A34" s="26" t="s">
        <v>26</v>
      </c>
      <c r="B34" s="26"/>
      <c r="C34" s="26"/>
      <c r="D34" s="26"/>
      <c r="E34" s="26"/>
      <c r="F34" s="26"/>
      <c r="G34" s="26"/>
      <c r="H34" s="25" t="s">
        <v>27</v>
      </c>
      <c r="I34" s="26"/>
      <c r="J34" s="26"/>
      <c r="K34" s="26"/>
      <c r="L34" s="26"/>
    </row>
    <row r="35" spans="1:12" x14ac:dyDescent="0.25">
      <c r="A35" s="25" t="s">
        <v>28</v>
      </c>
      <c r="B35" s="25"/>
      <c r="C35" s="25"/>
      <c r="D35" s="25"/>
      <c r="E35" s="25"/>
      <c r="F35" s="25"/>
      <c r="G35" s="25"/>
      <c r="H35" s="25" t="s">
        <v>29</v>
      </c>
      <c r="I35" s="25"/>
      <c r="J35" s="25"/>
      <c r="K35" s="25"/>
      <c r="L35" s="25"/>
    </row>
  </sheetData>
  <mergeCells count="16">
    <mergeCell ref="A1:L1"/>
    <mergeCell ref="A4:A7"/>
    <mergeCell ref="G8:I8"/>
    <mergeCell ref="A8:E8"/>
    <mergeCell ref="A2:L2"/>
    <mergeCell ref="A9:J9"/>
    <mergeCell ref="A14:L14"/>
    <mergeCell ref="A16:A19"/>
    <mergeCell ref="A20:E20"/>
    <mergeCell ref="G20:I20"/>
    <mergeCell ref="A33:J33"/>
    <mergeCell ref="A21:J21"/>
    <mergeCell ref="A26:L26"/>
    <mergeCell ref="A28:A31"/>
    <mergeCell ref="A32:E32"/>
    <mergeCell ref="G32:I3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8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58D3F-CB2E-4E1E-93CD-FFD3555870C2}">
  <dimension ref="A1:R135"/>
  <sheetViews>
    <sheetView showGridLines="0" tabSelected="1" zoomScale="90" zoomScaleNormal="90" zoomScaleSheetLayoutView="110" workbookViewId="0">
      <selection activeCell="L132" sqref="L132"/>
    </sheetView>
  </sheetViews>
  <sheetFormatPr defaultColWidth="8.85546875" defaultRowHeight="15" x14ac:dyDescent="0.25"/>
  <cols>
    <col min="1" max="1" width="8" style="89" customWidth="1"/>
    <col min="2" max="2" width="11.85546875" style="90" customWidth="1"/>
    <col min="3" max="3" width="58.140625" style="89" customWidth="1"/>
    <col min="4" max="4" width="11" style="161" customWidth="1"/>
    <col min="5" max="5" width="10.28515625" style="89" customWidth="1"/>
    <col min="6" max="6" width="9.85546875" style="89" customWidth="1"/>
    <col min="7" max="7" width="16.28515625" style="162" customWidth="1"/>
    <col min="8" max="8" width="14.42578125" style="162" customWidth="1"/>
    <col min="9" max="9" width="20" style="66" customWidth="1"/>
    <col min="10" max="10" width="15.85546875" style="66" customWidth="1"/>
    <col min="11" max="11" width="18.28515625" style="66" customWidth="1"/>
    <col min="12" max="12" width="19.42578125" style="66" customWidth="1"/>
    <col min="13" max="13" width="17.7109375" style="66" customWidth="1"/>
    <col min="14" max="14" width="8.85546875" style="89"/>
    <col min="15" max="15" width="10.42578125" style="89" customWidth="1"/>
    <col min="16" max="16" width="11.42578125" style="89" bestFit="1" customWidth="1"/>
    <col min="17" max="18" width="9.85546875" style="89" bestFit="1" customWidth="1"/>
    <col min="19" max="250" width="8.85546875" style="89"/>
    <col min="251" max="251" width="7.42578125" style="89" customWidth="1"/>
    <col min="252" max="252" width="45.7109375" style="89" customWidth="1"/>
    <col min="253" max="253" width="11" style="89" customWidth="1"/>
    <col min="254" max="254" width="10.28515625" style="89" customWidth="1"/>
    <col min="255" max="255" width="9.85546875" style="89" customWidth="1"/>
    <col min="256" max="256" width="16.28515625" style="89" customWidth="1"/>
    <col min="257" max="257" width="35.42578125" style="89" customWidth="1"/>
    <col min="258" max="258" width="0.140625" style="89" customWidth="1"/>
    <col min="259" max="259" width="33.85546875" style="89" customWidth="1"/>
    <col min="260" max="260" width="14" style="89" customWidth="1"/>
    <col min="261" max="506" width="8.85546875" style="89"/>
    <col min="507" max="507" width="7.42578125" style="89" customWidth="1"/>
    <col min="508" max="508" width="45.7109375" style="89" customWidth="1"/>
    <col min="509" max="509" width="11" style="89" customWidth="1"/>
    <col min="510" max="510" width="10.28515625" style="89" customWidth="1"/>
    <col min="511" max="511" width="9.85546875" style="89" customWidth="1"/>
    <col min="512" max="512" width="16.28515625" style="89" customWidth="1"/>
    <col min="513" max="513" width="35.42578125" style="89" customWidth="1"/>
    <col min="514" max="514" width="0.140625" style="89" customWidth="1"/>
    <col min="515" max="515" width="33.85546875" style="89" customWidth="1"/>
    <col min="516" max="516" width="14" style="89" customWidth="1"/>
    <col min="517" max="762" width="8.85546875" style="89"/>
    <col min="763" max="763" width="7.42578125" style="89" customWidth="1"/>
    <col min="764" max="764" width="45.7109375" style="89" customWidth="1"/>
    <col min="765" max="765" width="11" style="89" customWidth="1"/>
    <col min="766" max="766" width="10.28515625" style="89" customWidth="1"/>
    <col min="767" max="767" width="9.85546875" style="89" customWidth="1"/>
    <col min="768" max="768" width="16.28515625" style="89" customWidth="1"/>
    <col min="769" max="769" width="35.42578125" style="89" customWidth="1"/>
    <col min="770" max="770" width="0.140625" style="89" customWidth="1"/>
    <col min="771" max="771" width="33.85546875" style="89" customWidth="1"/>
    <col min="772" max="772" width="14" style="89" customWidth="1"/>
    <col min="773" max="1018" width="8.85546875" style="89"/>
    <col min="1019" max="1019" width="7.42578125" style="89" customWidth="1"/>
    <col min="1020" max="1020" width="45.7109375" style="89" customWidth="1"/>
    <col min="1021" max="1021" width="11" style="89" customWidth="1"/>
    <col min="1022" max="1022" width="10.28515625" style="89" customWidth="1"/>
    <col min="1023" max="1023" width="9.85546875" style="89" customWidth="1"/>
    <col min="1024" max="1024" width="16.28515625" style="89" customWidth="1"/>
    <col min="1025" max="1025" width="35.42578125" style="89" customWidth="1"/>
    <col min="1026" max="1026" width="0.140625" style="89" customWidth="1"/>
    <col min="1027" max="1027" width="33.85546875" style="89" customWidth="1"/>
    <col min="1028" max="1028" width="14" style="89" customWidth="1"/>
    <col min="1029" max="1274" width="8.85546875" style="89"/>
    <col min="1275" max="1275" width="7.42578125" style="89" customWidth="1"/>
    <col min="1276" max="1276" width="45.7109375" style="89" customWidth="1"/>
    <col min="1277" max="1277" width="11" style="89" customWidth="1"/>
    <col min="1278" max="1278" width="10.28515625" style="89" customWidth="1"/>
    <col min="1279" max="1279" width="9.85546875" style="89" customWidth="1"/>
    <col min="1280" max="1280" width="16.28515625" style="89" customWidth="1"/>
    <col min="1281" max="1281" width="35.42578125" style="89" customWidth="1"/>
    <col min="1282" max="1282" width="0.140625" style="89" customWidth="1"/>
    <col min="1283" max="1283" width="33.85546875" style="89" customWidth="1"/>
    <col min="1284" max="1284" width="14" style="89" customWidth="1"/>
    <col min="1285" max="1530" width="8.85546875" style="89"/>
    <col min="1531" max="1531" width="7.42578125" style="89" customWidth="1"/>
    <col min="1532" max="1532" width="45.7109375" style="89" customWidth="1"/>
    <col min="1533" max="1533" width="11" style="89" customWidth="1"/>
    <col min="1534" max="1534" width="10.28515625" style="89" customWidth="1"/>
    <col min="1535" max="1535" width="9.85546875" style="89" customWidth="1"/>
    <col min="1536" max="1536" width="16.28515625" style="89" customWidth="1"/>
    <col min="1537" max="1537" width="35.42578125" style="89" customWidth="1"/>
    <col min="1538" max="1538" width="0.140625" style="89" customWidth="1"/>
    <col min="1539" max="1539" width="33.85546875" style="89" customWidth="1"/>
    <col min="1540" max="1540" width="14" style="89" customWidth="1"/>
    <col min="1541" max="1786" width="8.85546875" style="89"/>
    <col min="1787" max="1787" width="7.42578125" style="89" customWidth="1"/>
    <col min="1788" max="1788" width="45.7109375" style="89" customWidth="1"/>
    <col min="1789" max="1789" width="11" style="89" customWidth="1"/>
    <col min="1790" max="1790" width="10.28515625" style="89" customWidth="1"/>
    <col min="1791" max="1791" width="9.85546875" style="89" customWidth="1"/>
    <col min="1792" max="1792" width="16.28515625" style="89" customWidth="1"/>
    <col min="1793" max="1793" width="35.42578125" style="89" customWidth="1"/>
    <col min="1794" max="1794" width="0.140625" style="89" customWidth="1"/>
    <col min="1795" max="1795" width="33.85546875" style="89" customWidth="1"/>
    <col min="1796" max="1796" width="14" style="89" customWidth="1"/>
    <col min="1797" max="2042" width="8.85546875" style="89"/>
    <col min="2043" max="2043" width="7.42578125" style="89" customWidth="1"/>
    <col min="2044" max="2044" width="45.7109375" style="89" customWidth="1"/>
    <col min="2045" max="2045" width="11" style="89" customWidth="1"/>
    <col min="2046" max="2046" width="10.28515625" style="89" customWidth="1"/>
    <col min="2047" max="2047" width="9.85546875" style="89" customWidth="1"/>
    <col min="2048" max="2048" width="16.28515625" style="89" customWidth="1"/>
    <col min="2049" max="2049" width="35.42578125" style="89" customWidth="1"/>
    <col min="2050" max="2050" width="0.140625" style="89" customWidth="1"/>
    <col min="2051" max="2051" width="33.85546875" style="89" customWidth="1"/>
    <col min="2052" max="2052" width="14" style="89" customWidth="1"/>
    <col min="2053" max="2298" width="8.85546875" style="89"/>
    <col min="2299" max="2299" width="7.42578125" style="89" customWidth="1"/>
    <col min="2300" max="2300" width="45.7109375" style="89" customWidth="1"/>
    <col min="2301" max="2301" width="11" style="89" customWidth="1"/>
    <col min="2302" max="2302" width="10.28515625" style="89" customWidth="1"/>
    <col min="2303" max="2303" width="9.85546875" style="89" customWidth="1"/>
    <col min="2304" max="2304" width="16.28515625" style="89" customWidth="1"/>
    <col min="2305" max="2305" width="35.42578125" style="89" customWidth="1"/>
    <col min="2306" max="2306" width="0.140625" style="89" customWidth="1"/>
    <col min="2307" max="2307" width="33.85546875" style="89" customWidth="1"/>
    <col min="2308" max="2308" width="14" style="89" customWidth="1"/>
    <col min="2309" max="2554" width="8.85546875" style="89"/>
    <col min="2555" max="2555" width="7.42578125" style="89" customWidth="1"/>
    <col min="2556" max="2556" width="45.7109375" style="89" customWidth="1"/>
    <col min="2557" max="2557" width="11" style="89" customWidth="1"/>
    <col min="2558" max="2558" width="10.28515625" style="89" customWidth="1"/>
    <col min="2559" max="2559" width="9.85546875" style="89" customWidth="1"/>
    <col min="2560" max="2560" width="16.28515625" style="89" customWidth="1"/>
    <col min="2561" max="2561" width="35.42578125" style="89" customWidth="1"/>
    <col min="2562" max="2562" width="0.140625" style="89" customWidth="1"/>
    <col min="2563" max="2563" width="33.85546875" style="89" customWidth="1"/>
    <col min="2564" max="2564" width="14" style="89" customWidth="1"/>
    <col min="2565" max="2810" width="8.85546875" style="89"/>
    <col min="2811" max="2811" width="7.42578125" style="89" customWidth="1"/>
    <col min="2812" max="2812" width="45.7109375" style="89" customWidth="1"/>
    <col min="2813" max="2813" width="11" style="89" customWidth="1"/>
    <col min="2814" max="2814" width="10.28515625" style="89" customWidth="1"/>
    <col min="2815" max="2815" width="9.85546875" style="89" customWidth="1"/>
    <col min="2816" max="2816" width="16.28515625" style="89" customWidth="1"/>
    <col min="2817" max="2817" width="35.42578125" style="89" customWidth="1"/>
    <col min="2818" max="2818" width="0.140625" style="89" customWidth="1"/>
    <col min="2819" max="2819" width="33.85546875" style="89" customWidth="1"/>
    <col min="2820" max="2820" width="14" style="89" customWidth="1"/>
    <col min="2821" max="3066" width="8.85546875" style="89"/>
    <col min="3067" max="3067" width="7.42578125" style="89" customWidth="1"/>
    <col min="3068" max="3068" width="45.7109375" style="89" customWidth="1"/>
    <col min="3069" max="3069" width="11" style="89" customWidth="1"/>
    <col min="3070" max="3070" width="10.28515625" style="89" customWidth="1"/>
    <col min="3071" max="3071" width="9.85546875" style="89" customWidth="1"/>
    <col min="3072" max="3072" width="16.28515625" style="89" customWidth="1"/>
    <col min="3073" max="3073" width="35.42578125" style="89" customWidth="1"/>
    <col min="3074" max="3074" width="0.140625" style="89" customWidth="1"/>
    <col min="3075" max="3075" width="33.85546875" style="89" customWidth="1"/>
    <col min="3076" max="3076" width="14" style="89" customWidth="1"/>
    <col min="3077" max="3322" width="8.85546875" style="89"/>
    <col min="3323" max="3323" width="7.42578125" style="89" customWidth="1"/>
    <col min="3324" max="3324" width="45.7109375" style="89" customWidth="1"/>
    <col min="3325" max="3325" width="11" style="89" customWidth="1"/>
    <col min="3326" max="3326" width="10.28515625" style="89" customWidth="1"/>
    <col min="3327" max="3327" width="9.85546875" style="89" customWidth="1"/>
    <col min="3328" max="3328" width="16.28515625" style="89" customWidth="1"/>
    <col min="3329" max="3329" width="35.42578125" style="89" customWidth="1"/>
    <col min="3330" max="3330" width="0.140625" style="89" customWidth="1"/>
    <col min="3331" max="3331" width="33.85546875" style="89" customWidth="1"/>
    <col min="3332" max="3332" width="14" style="89" customWidth="1"/>
    <col min="3333" max="3578" width="8.85546875" style="89"/>
    <col min="3579" max="3579" width="7.42578125" style="89" customWidth="1"/>
    <col min="3580" max="3580" width="45.7109375" style="89" customWidth="1"/>
    <col min="3581" max="3581" width="11" style="89" customWidth="1"/>
    <col min="3582" max="3582" width="10.28515625" style="89" customWidth="1"/>
    <col min="3583" max="3583" width="9.85546875" style="89" customWidth="1"/>
    <col min="3584" max="3584" width="16.28515625" style="89" customWidth="1"/>
    <col min="3585" max="3585" width="35.42578125" style="89" customWidth="1"/>
    <col min="3586" max="3586" width="0.140625" style="89" customWidth="1"/>
    <col min="3587" max="3587" width="33.85546875" style="89" customWidth="1"/>
    <col min="3588" max="3588" width="14" style="89" customWidth="1"/>
    <col min="3589" max="3834" width="8.85546875" style="89"/>
    <col min="3835" max="3835" width="7.42578125" style="89" customWidth="1"/>
    <col min="3836" max="3836" width="45.7109375" style="89" customWidth="1"/>
    <col min="3837" max="3837" width="11" style="89" customWidth="1"/>
    <col min="3838" max="3838" width="10.28515625" style="89" customWidth="1"/>
    <col min="3839" max="3839" width="9.85546875" style="89" customWidth="1"/>
    <col min="3840" max="3840" width="16.28515625" style="89" customWidth="1"/>
    <col min="3841" max="3841" width="35.42578125" style="89" customWidth="1"/>
    <col min="3842" max="3842" width="0.140625" style="89" customWidth="1"/>
    <col min="3843" max="3843" width="33.85546875" style="89" customWidth="1"/>
    <col min="3844" max="3844" width="14" style="89" customWidth="1"/>
    <col min="3845" max="4090" width="8.85546875" style="89"/>
    <col min="4091" max="4091" width="7.42578125" style="89" customWidth="1"/>
    <col min="4092" max="4092" width="45.7109375" style="89" customWidth="1"/>
    <col min="4093" max="4093" width="11" style="89" customWidth="1"/>
    <col min="4094" max="4094" width="10.28515625" style="89" customWidth="1"/>
    <col min="4095" max="4095" width="9.85546875" style="89" customWidth="1"/>
    <col min="4096" max="4096" width="16.28515625" style="89" customWidth="1"/>
    <col min="4097" max="4097" width="35.42578125" style="89" customWidth="1"/>
    <col min="4098" max="4098" width="0.140625" style="89" customWidth="1"/>
    <col min="4099" max="4099" width="33.85546875" style="89" customWidth="1"/>
    <col min="4100" max="4100" width="14" style="89" customWidth="1"/>
    <col min="4101" max="4346" width="8.85546875" style="89"/>
    <col min="4347" max="4347" width="7.42578125" style="89" customWidth="1"/>
    <col min="4348" max="4348" width="45.7109375" style="89" customWidth="1"/>
    <col min="4349" max="4349" width="11" style="89" customWidth="1"/>
    <col min="4350" max="4350" width="10.28515625" style="89" customWidth="1"/>
    <col min="4351" max="4351" width="9.85546875" style="89" customWidth="1"/>
    <col min="4352" max="4352" width="16.28515625" style="89" customWidth="1"/>
    <col min="4353" max="4353" width="35.42578125" style="89" customWidth="1"/>
    <col min="4354" max="4354" width="0.140625" style="89" customWidth="1"/>
    <col min="4355" max="4355" width="33.85546875" style="89" customWidth="1"/>
    <col min="4356" max="4356" width="14" style="89" customWidth="1"/>
    <col min="4357" max="4602" width="8.85546875" style="89"/>
    <col min="4603" max="4603" width="7.42578125" style="89" customWidth="1"/>
    <col min="4604" max="4604" width="45.7109375" style="89" customWidth="1"/>
    <col min="4605" max="4605" width="11" style="89" customWidth="1"/>
    <col min="4606" max="4606" width="10.28515625" style="89" customWidth="1"/>
    <col min="4607" max="4607" width="9.85546875" style="89" customWidth="1"/>
    <col min="4608" max="4608" width="16.28515625" style="89" customWidth="1"/>
    <col min="4609" max="4609" width="35.42578125" style="89" customWidth="1"/>
    <col min="4610" max="4610" width="0.140625" style="89" customWidth="1"/>
    <col min="4611" max="4611" width="33.85546875" style="89" customWidth="1"/>
    <col min="4612" max="4612" width="14" style="89" customWidth="1"/>
    <col min="4613" max="4858" width="8.85546875" style="89"/>
    <col min="4859" max="4859" width="7.42578125" style="89" customWidth="1"/>
    <col min="4860" max="4860" width="45.7109375" style="89" customWidth="1"/>
    <col min="4861" max="4861" width="11" style="89" customWidth="1"/>
    <col min="4862" max="4862" width="10.28515625" style="89" customWidth="1"/>
    <col min="4863" max="4863" width="9.85546875" style="89" customWidth="1"/>
    <col min="4864" max="4864" width="16.28515625" style="89" customWidth="1"/>
    <col min="4865" max="4865" width="35.42578125" style="89" customWidth="1"/>
    <col min="4866" max="4866" width="0.140625" style="89" customWidth="1"/>
    <col min="4867" max="4867" width="33.85546875" style="89" customWidth="1"/>
    <col min="4868" max="4868" width="14" style="89" customWidth="1"/>
    <col min="4869" max="5114" width="8.85546875" style="89"/>
    <col min="5115" max="5115" width="7.42578125" style="89" customWidth="1"/>
    <col min="5116" max="5116" width="45.7109375" style="89" customWidth="1"/>
    <col min="5117" max="5117" width="11" style="89" customWidth="1"/>
    <col min="5118" max="5118" width="10.28515625" style="89" customWidth="1"/>
    <col min="5119" max="5119" width="9.85546875" style="89" customWidth="1"/>
    <col min="5120" max="5120" width="16.28515625" style="89" customWidth="1"/>
    <col min="5121" max="5121" width="35.42578125" style="89" customWidth="1"/>
    <col min="5122" max="5122" width="0.140625" style="89" customWidth="1"/>
    <col min="5123" max="5123" width="33.85546875" style="89" customWidth="1"/>
    <col min="5124" max="5124" width="14" style="89" customWidth="1"/>
    <col min="5125" max="5370" width="8.85546875" style="89"/>
    <col min="5371" max="5371" width="7.42578125" style="89" customWidth="1"/>
    <col min="5372" max="5372" width="45.7109375" style="89" customWidth="1"/>
    <col min="5373" max="5373" width="11" style="89" customWidth="1"/>
    <col min="5374" max="5374" width="10.28515625" style="89" customWidth="1"/>
    <col min="5375" max="5375" width="9.85546875" style="89" customWidth="1"/>
    <col min="5376" max="5376" width="16.28515625" style="89" customWidth="1"/>
    <col min="5377" max="5377" width="35.42578125" style="89" customWidth="1"/>
    <col min="5378" max="5378" width="0.140625" style="89" customWidth="1"/>
    <col min="5379" max="5379" width="33.85546875" style="89" customWidth="1"/>
    <col min="5380" max="5380" width="14" style="89" customWidth="1"/>
    <col min="5381" max="5626" width="8.85546875" style="89"/>
    <col min="5627" max="5627" width="7.42578125" style="89" customWidth="1"/>
    <col min="5628" max="5628" width="45.7109375" style="89" customWidth="1"/>
    <col min="5629" max="5629" width="11" style="89" customWidth="1"/>
    <col min="5630" max="5630" width="10.28515625" style="89" customWidth="1"/>
    <col min="5631" max="5631" width="9.85546875" style="89" customWidth="1"/>
    <col min="5632" max="5632" width="16.28515625" style="89" customWidth="1"/>
    <col min="5633" max="5633" width="35.42578125" style="89" customWidth="1"/>
    <col min="5634" max="5634" width="0.140625" style="89" customWidth="1"/>
    <col min="5635" max="5635" width="33.85546875" style="89" customWidth="1"/>
    <col min="5636" max="5636" width="14" style="89" customWidth="1"/>
    <col min="5637" max="5882" width="8.85546875" style="89"/>
    <col min="5883" max="5883" width="7.42578125" style="89" customWidth="1"/>
    <col min="5884" max="5884" width="45.7109375" style="89" customWidth="1"/>
    <col min="5885" max="5885" width="11" style="89" customWidth="1"/>
    <col min="5886" max="5886" width="10.28515625" style="89" customWidth="1"/>
    <col min="5887" max="5887" width="9.85546875" style="89" customWidth="1"/>
    <col min="5888" max="5888" width="16.28515625" style="89" customWidth="1"/>
    <col min="5889" max="5889" width="35.42578125" style="89" customWidth="1"/>
    <col min="5890" max="5890" width="0.140625" style="89" customWidth="1"/>
    <col min="5891" max="5891" width="33.85546875" style="89" customWidth="1"/>
    <col min="5892" max="5892" width="14" style="89" customWidth="1"/>
    <col min="5893" max="6138" width="8.85546875" style="89"/>
    <col min="6139" max="6139" width="7.42578125" style="89" customWidth="1"/>
    <col min="6140" max="6140" width="45.7109375" style="89" customWidth="1"/>
    <col min="6141" max="6141" width="11" style="89" customWidth="1"/>
    <col min="6142" max="6142" width="10.28515625" style="89" customWidth="1"/>
    <col min="6143" max="6143" width="9.85546875" style="89" customWidth="1"/>
    <col min="6144" max="6144" width="16.28515625" style="89" customWidth="1"/>
    <col min="6145" max="6145" width="35.42578125" style="89" customWidth="1"/>
    <col min="6146" max="6146" width="0.140625" style="89" customWidth="1"/>
    <col min="6147" max="6147" width="33.85546875" style="89" customWidth="1"/>
    <col min="6148" max="6148" width="14" style="89" customWidth="1"/>
    <col min="6149" max="6394" width="8.85546875" style="89"/>
    <col min="6395" max="6395" width="7.42578125" style="89" customWidth="1"/>
    <col min="6396" max="6396" width="45.7109375" style="89" customWidth="1"/>
    <col min="6397" max="6397" width="11" style="89" customWidth="1"/>
    <col min="6398" max="6398" width="10.28515625" style="89" customWidth="1"/>
    <col min="6399" max="6399" width="9.85546875" style="89" customWidth="1"/>
    <col min="6400" max="6400" width="16.28515625" style="89" customWidth="1"/>
    <col min="6401" max="6401" width="35.42578125" style="89" customWidth="1"/>
    <col min="6402" max="6402" width="0.140625" style="89" customWidth="1"/>
    <col min="6403" max="6403" width="33.85546875" style="89" customWidth="1"/>
    <col min="6404" max="6404" width="14" style="89" customWidth="1"/>
    <col min="6405" max="6650" width="8.85546875" style="89"/>
    <col min="6651" max="6651" width="7.42578125" style="89" customWidth="1"/>
    <col min="6652" max="6652" width="45.7109375" style="89" customWidth="1"/>
    <col min="6653" max="6653" width="11" style="89" customWidth="1"/>
    <col min="6654" max="6654" width="10.28515625" style="89" customWidth="1"/>
    <col min="6655" max="6655" width="9.85546875" style="89" customWidth="1"/>
    <col min="6656" max="6656" width="16.28515625" style="89" customWidth="1"/>
    <col min="6657" max="6657" width="35.42578125" style="89" customWidth="1"/>
    <col min="6658" max="6658" width="0.140625" style="89" customWidth="1"/>
    <col min="6659" max="6659" width="33.85546875" style="89" customWidth="1"/>
    <col min="6660" max="6660" width="14" style="89" customWidth="1"/>
    <col min="6661" max="6906" width="8.85546875" style="89"/>
    <col min="6907" max="6907" width="7.42578125" style="89" customWidth="1"/>
    <col min="6908" max="6908" width="45.7109375" style="89" customWidth="1"/>
    <col min="6909" max="6909" width="11" style="89" customWidth="1"/>
    <col min="6910" max="6910" width="10.28515625" style="89" customWidth="1"/>
    <col min="6911" max="6911" width="9.85546875" style="89" customWidth="1"/>
    <col min="6912" max="6912" width="16.28515625" style="89" customWidth="1"/>
    <col min="6913" max="6913" width="35.42578125" style="89" customWidth="1"/>
    <col min="6914" max="6914" width="0.140625" style="89" customWidth="1"/>
    <col min="6915" max="6915" width="33.85546875" style="89" customWidth="1"/>
    <col min="6916" max="6916" width="14" style="89" customWidth="1"/>
    <col min="6917" max="7162" width="8.85546875" style="89"/>
    <col min="7163" max="7163" width="7.42578125" style="89" customWidth="1"/>
    <col min="7164" max="7164" width="45.7109375" style="89" customWidth="1"/>
    <col min="7165" max="7165" width="11" style="89" customWidth="1"/>
    <col min="7166" max="7166" width="10.28515625" style="89" customWidth="1"/>
    <col min="7167" max="7167" width="9.85546875" style="89" customWidth="1"/>
    <col min="7168" max="7168" width="16.28515625" style="89" customWidth="1"/>
    <col min="7169" max="7169" width="35.42578125" style="89" customWidth="1"/>
    <col min="7170" max="7170" width="0.140625" style="89" customWidth="1"/>
    <col min="7171" max="7171" width="33.85546875" style="89" customWidth="1"/>
    <col min="7172" max="7172" width="14" style="89" customWidth="1"/>
    <col min="7173" max="7418" width="8.85546875" style="89"/>
    <col min="7419" max="7419" width="7.42578125" style="89" customWidth="1"/>
    <col min="7420" max="7420" width="45.7109375" style="89" customWidth="1"/>
    <col min="7421" max="7421" width="11" style="89" customWidth="1"/>
    <col min="7422" max="7422" width="10.28515625" style="89" customWidth="1"/>
    <col min="7423" max="7423" width="9.85546875" style="89" customWidth="1"/>
    <col min="7424" max="7424" width="16.28515625" style="89" customWidth="1"/>
    <col min="7425" max="7425" width="35.42578125" style="89" customWidth="1"/>
    <col min="7426" max="7426" width="0.140625" style="89" customWidth="1"/>
    <col min="7427" max="7427" width="33.85546875" style="89" customWidth="1"/>
    <col min="7428" max="7428" width="14" style="89" customWidth="1"/>
    <col min="7429" max="7674" width="8.85546875" style="89"/>
    <col min="7675" max="7675" width="7.42578125" style="89" customWidth="1"/>
    <col min="7676" max="7676" width="45.7109375" style="89" customWidth="1"/>
    <col min="7677" max="7677" width="11" style="89" customWidth="1"/>
    <col min="7678" max="7678" width="10.28515625" style="89" customWidth="1"/>
    <col min="7679" max="7679" width="9.85546875" style="89" customWidth="1"/>
    <col min="7680" max="7680" width="16.28515625" style="89" customWidth="1"/>
    <col min="7681" max="7681" width="35.42578125" style="89" customWidth="1"/>
    <col min="7682" max="7682" width="0.140625" style="89" customWidth="1"/>
    <col min="7683" max="7683" width="33.85546875" style="89" customWidth="1"/>
    <col min="7684" max="7684" width="14" style="89" customWidth="1"/>
    <col min="7685" max="7930" width="8.85546875" style="89"/>
    <col min="7931" max="7931" width="7.42578125" style="89" customWidth="1"/>
    <col min="7932" max="7932" width="45.7109375" style="89" customWidth="1"/>
    <col min="7933" max="7933" width="11" style="89" customWidth="1"/>
    <col min="7934" max="7934" width="10.28515625" style="89" customWidth="1"/>
    <col min="7935" max="7935" width="9.85546875" style="89" customWidth="1"/>
    <col min="7936" max="7936" width="16.28515625" style="89" customWidth="1"/>
    <col min="7937" max="7937" width="35.42578125" style="89" customWidth="1"/>
    <col min="7938" max="7938" width="0.140625" style="89" customWidth="1"/>
    <col min="7939" max="7939" width="33.85546875" style="89" customWidth="1"/>
    <col min="7940" max="7940" width="14" style="89" customWidth="1"/>
    <col min="7941" max="8186" width="8.85546875" style="89"/>
    <col min="8187" max="8187" width="7.42578125" style="89" customWidth="1"/>
    <col min="8188" max="8188" width="45.7109375" style="89" customWidth="1"/>
    <col min="8189" max="8189" width="11" style="89" customWidth="1"/>
    <col min="8190" max="8190" width="10.28515625" style="89" customWidth="1"/>
    <col min="8191" max="8191" width="9.85546875" style="89" customWidth="1"/>
    <col min="8192" max="8192" width="16.28515625" style="89" customWidth="1"/>
    <col min="8193" max="8193" width="35.42578125" style="89" customWidth="1"/>
    <col min="8194" max="8194" width="0.140625" style="89" customWidth="1"/>
    <col min="8195" max="8195" width="33.85546875" style="89" customWidth="1"/>
    <col min="8196" max="8196" width="14" style="89" customWidth="1"/>
    <col min="8197" max="8442" width="8.85546875" style="89"/>
    <col min="8443" max="8443" width="7.42578125" style="89" customWidth="1"/>
    <col min="8444" max="8444" width="45.7109375" style="89" customWidth="1"/>
    <col min="8445" max="8445" width="11" style="89" customWidth="1"/>
    <col min="8446" max="8446" width="10.28515625" style="89" customWidth="1"/>
    <col min="8447" max="8447" width="9.85546875" style="89" customWidth="1"/>
    <col min="8448" max="8448" width="16.28515625" style="89" customWidth="1"/>
    <col min="8449" max="8449" width="35.42578125" style="89" customWidth="1"/>
    <col min="8450" max="8450" width="0.140625" style="89" customWidth="1"/>
    <col min="8451" max="8451" width="33.85546875" style="89" customWidth="1"/>
    <col min="8452" max="8452" width="14" style="89" customWidth="1"/>
    <col min="8453" max="8698" width="8.85546875" style="89"/>
    <col min="8699" max="8699" width="7.42578125" style="89" customWidth="1"/>
    <col min="8700" max="8700" width="45.7109375" style="89" customWidth="1"/>
    <col min="8701" max="8701" width="11" style="89" customWidth="1"/>
    <col min="8702" max="8702" width="10.28515625" style="89" customWidth="1"/>
    <col min="8703" max="8703" width="9.85546875" style="89" customWidth="1"/>
    <col min="8704" max="8704" width="16.28515625" style="89" customWidth="1"/>
    <col min="8705" max="8705" width="35.42578125" style="89" customWidth="1"/>
    <col min="8706" max="8706" width="0.140625" style="89" customWidth="1"/>
    <col min="8707" max="8707" width="33.85546875" style="89" customWidth="1"/>
    <col min="8708" max="8708" width="14" style="89" customWidth="1"/>
    <col min="8709" max="8954" width="8.85546875" style="89"/>
    <col min="8955" max="8955" width="7.42578125" style="89" customWidth="1"/>
    <col min="8956" max="8956" width="45.7109375" style="89" customWidth="1"/>
    <col min="8957" max="8957" width="11" style="89" customWidth="1"/>
    <col min="8958" max="8958" width="10.28515625" style="89" customWidth="1"/>
    <col min="8959" max="8959" width="9.85546875" style="89" customWidth="1"/>
    <col min="8960" max="8960" width="16.28515625" style="89" customWidth="1"/>
    <col min="8961" max="8961" width="35.42578125" style="89" customWidth="1"/>
    <col min="8962" max="8962" width="0.140625" style="89" customWidth="1"/>
    <col min="8963" max="8963" width="33.85546875" style="89" customWidth="1"/>
    <col min="8964" max="8964" width="14" style="89" customWidth="1"/>
    <col min="8965" max="9210" width="8.85546875" style="89"/>
    <col min="9211" max="9211" width="7.42578125" style="89" customWidth="1"/>
    <col min="9212" max="9212" width="45.7109375" style="89" customWidth="1"/>
    <col min="9213" max="9213" width="11" style="89" customWidth="1"/>
    <col min="9214" max="9214" width="10.28515625" style="89" customWidth="1"/>
    <col min="9215" max="9215" width="9.85546875" style="89" customWidth="1"/>
    <col min="9216" max="9216" width="16.28515625" style="89" customWidth="1"/>
    <col min="9217" max="9217" width="35.42578125" style="89" customWidth="1"/>
    <col min="9218" max="9218" width="0.140625" style="89" customWidth="1"/>
    <col min="9219" max="9219" width="33.85546875" style="89" customWidth="1"/>
    <col min="9220" max="9220" width="14" style="89" customWidth="1"/>
    <col min="9221" max="9466" width="8.85546875" style="89"/>
    <col min="9467" max="9467" width="7.42578125" style="89" customWidth="1"/>
    <col min="9468" max="9468" width="45.7109375" style="89" customWidth="1"/>
    <col min="9469" max="9469" width="11" style="89" customWidth="1"/>
    <col min="9470" max="9470" width="10.28515625" style="89" customWidth="1"/>
    <col min="9471" max="9471" width="9.85546875" style="89" customWidth="1"/>
    <col min="9472" max="9472" width="16.28515625" style="89" customWidth="1"/>
    <col min="9473" max="9473" width="35.42578125" style="89" customWidth="1"/>
    <col min="9474" max="9474" width="0.140625" style="89" customWidth="1"/>
    <col min="9475" max="9475" width="33.85546875" style="89" customWidth="1"/>
    <col min="9476" max="9476" width="14" style="89" customWidth="1"/>
    <col min="9477" max="9722" width="8.85546875" style="89"/>
    <col min="9723" max="9723" width="7.42578125" style="89" customWidth="1"/>
    <col min="9724" max="9724" width="45.7109375" style="89" customWidth="1"/>
    <col min="9725" max="9725" width="11" style="89" customWidth="1"/>
    <col min="9726" max="9726" width="10.28515625" style="89" customWidth="1"/>
    <col min="9727" max="9727" width="9.85546875" style="89" customWidth="1"/>
    <col min="9728" max="9728" width="16.28515625" style="89" customWidth="1"/>
    <col min="9729" max="9729" width="35.42578125" style="89" customWidth="1"/>
    <col min="9730" max="9730" width="0.140625" style="89" customWidth="1"/>
    <col min="9731" max="9731" width="33.85546875" style="89" customWidth="1"/>
    <col min="9732" max="9732" width="14" style="89" customWidth="1"/>
    <col min="9733" max="9978" width="8.85546875" style="89"/>
    <col min="9979" max="9979" width="7.42578125" style="89" customWidth="1"/>
    <col min="9980" max="9980" width="45.7109375" style="89" customWidth="1"/>
    <col min="9981" max="9981" width="11" style="89" customWidth="1"/>
    <col min="9982" max="9982" width="10.28515625" style="89" customWidth="1"/>
    <col min="9983" max="9983" width="9.85546875" style="89" customWidth="1"/>
    <col min="9984" max="9984" width="16.28515625" style="89" customWidth="1"/>
    <col min="9985" max="9985" width="35.42578125" style="89" customWidth="1"/>
    <col min="9986" max="9986" width="0.140625" style="89" customWidth="1"/>
    <col min="9987" max="9987" width="33.85546875" style="89" customWidth="1"/>
    <col min="9988" max="9988" width="14" style="89" customWidth="1"/>
    <col min="9989" max="10234" width="8.85546875" style="89"/>
    <col min="10235" max="10235" width="7.42578125" style="89" customWidth="1"/>
    <col min="10236" max="10236" width="45.7109375" style="89" customWidth="1"/>
    <col min="10237" max="10237" width="11" style="89" customWidth="1"/>
    <col min="10238" max="10238" width="10.28515625" style="89" customWidth="1"/>
    <col min="10239" max="10239" width="9.85546875" style="89" customWidth="1"/>
    <col min="10240" max="10240" width="16.28515625" style="89" customWidth="1"/>
    <col min="10241" max="10241" width="35.42578125" style="89" customWidth="1"/>
    <col min="10242" max="10242" width="0.140625" style="89" customWidth="1"/>
    <col min="10243" max="10243" width="33.85546875" style="89" customWidth="1"/>
    <col min="10244" max="10244" width="14" style="89" customWidth="1"/>
    <col min="10245" max="10490" width="8.85546875" style="89"/>
    <col min="10491" max="10491" width="7.42578125" style="89" customWidth="1"/>
    <col min="10492" max="10492" width="45.7109375" style="89" customWidth="1"/>
    <col min="10493" max="10493" width="11" style="89" customWidth="1"/>
    <col min="10494" max="10494" width="10.28515625" style="89" customWidth="1"/>
    <col min="10495" max="10495" width="9.85546875" style="89" customWidth="1"/>
    <col min="10496" max="10496" width="16.28515625" style="89" customWidth="1"/>
    <col min="10497" max="10497" width="35.42578125" style="89" customWidth="1"/>
    <col min="10498" max="10498" width="0.140625" style="89" customWidth="1"/>
    <col min="10499" max="10499" width="33.85546875" style="89" customWidth="1"/>
    <col min="10500" max="10500" width="14" style="89" customWidth="1"/>
    <col min="10501" max="10746" width="8.85546875" style="89"/>
    <col min="10747" max="10747" width="7.42578125" style="89" customWidth="1"/>
    <col min="10748" max="10748" width="45.7109375" style="89" customWidth="1"/>
    <col min="10749" max="10749" width="11" style="89" customWidth="1"/>
    <col min="10750" max="10750" width="10.28515625" style="89" customWidth="1"/>
    <col min="10751" max="10751" width="9.85546875" style="89" customWidth="1"/>
    <col min="10752" max="10752" width="16.28515625" style="89" customWidth="1"/>
    <col min="10753" max="10753" width="35.42578125" style="89" customWidth="1"/>
    <col min="10754" max="10754" width="0.140625" style="89" customWidth="1"/>
    <col min="10755" max="10755" width="33.85546875" style="89" customWidth="1"/>
    <col min="10756" max="10756" width="14" style="89" customWidth="1"/>
    <col min="10757" max="11002" width="8.85546875" style="89"/>
    <col min="11003" max="11003" width="7.42578125" style="89" customWidth="1"/>
    <col min="11004" max="11004" width="45.7109375" style="89" customWidth="1"/>
    <col min="11005" max="11005" width="11" style="89" customWidth="1"/>
    <col min="11006" max="11006" width="10.28515625" style="89" customWidth="1"/>
    <col min="11007" max="11007" width="9.85546875" style="89" customWidth="1"/>
    <col min="11008" max="11008" width="16.28515625" style="89" customWidth="1"/>
    <col min="11009" max="11009" width="35.42578125" style="89" customWidth="1"/>
    <col min="11010" max="11010" width="0.140625" style="89" customWidth="1"/>
    <col min="11011" max="11011" width="33.85546875" style="89" customWidth="1"/>
    <col min="11012" max="11012" width="14" style="89" customWidth="1"/>
    <col min="11013" max="11258" width="8.85546875" style="89"/>
    <col min="11259" max="11259" width="7.42578125" style="89" customWidth="1"/>
    <col min="11260" max="11260" width="45.7109375" style="89" customWidth="1"/>
    <col min="11261" max="11261" width="11" style="89" customWidth="1"/>
    <col min="11262" max="11262" width="10.28515625" style="89" customWidth="1"/>
    <col min="11263" max="11263" width="9.85546875" style="89" customWidth="1"/>
    <col min="11264" max="11264" width="16.28515625" style="89" customWidth="1"/>
    <col min="11265" max="11265" width="35.42578125" style="89" customWidth="1"/>
    <col min="11266" max="11266" width="0.140625" style="89" customWidth="1"/>
    <col min="11267" max="11267" width="33.85546875" style="89" customWidth="1"/>
    <col min="11268" max="11268" width="14" style="89" customWidth="1"/>
    <col min="11269" max="11514" width="8.85546875" style="89"/>
    <col min="11515" max="11515" width="7.42578125" style="89" customWidth="1"/>
    <col min="11516" max="11516" width="45.7109375" style="89" customWidth="1"/>
    <col min="11517" max="11517" width="11" style="89" customWidth="1"/>
    <col min="11518" max="11518" width="10.28515625" style="89" customWidth="1"/>
    <col min="11519" max="11519" width="9.85546875" style="89" customWidth="1"/>
    <col min="11520" max="11520" width="16.28515625" style="89" customWidth="1"/>
    <col min="11521" max="11521" width="35.42578125" style="89" customWidth="1"/>
    <col min="11522" max="11522" width="0.140625" style="89" customWidth="1"/>
    <col min="11523" max="11523" width="33.85546875" style="89" customWidth="1"/>
    <col min="11524" max="11524" width="14" style="89" customWidth="1"/>
    <col min="11525" max="11770" width="8.85546875" style="89"/>
    <col min="11771" max="11771" width="7.42578125" style="89" customWidth="1"/>
    <col min="11772" max="11772" width="45.7109375" style="89" customWidth="1"/>
    <col min="11773" max="11773" width="11" style="89" customWidth="1"/>
    <col min="11774" max="11774" width="10.28515625" style="89" customWidth="1"/>
    <col min="11775" max="11775" width="9.85546875" style="89" customWidth="1"/>
    <col min="11776" max="11776" width="16.28515625" style="89" customWidth="1"/>
    <col min="11777" max="11777" width="35.42578125" style="89" customWidth="1"/>
    <col min="11778" max="11778" width="0.140625" style="89" customWidth="1"/>
    <col min="11779" max="11779" width="33.85546875" style="89" customWidth="1"/>
    <col min="11780" max="11780" width="14" style="89" customWidth="1"/>
    <col min="11781" max="12026" width="8.85546875" style="89"/>
    <col min="12027" max="12027" width="7.42578125" style="89" customWidth="1"/>
    <col min="12028" max="12028" width="45.7109375" style="89" customWidth="1"/>
    <col min="12029" max="12029" width="11" style="89" customWidth="1"/>
    <col min="12030" max="12030" width="10.28515625" style="89" customWidth="1"/>
    <col min="12031" max="12031" width="9.85546875" style="89" customWidth="1"/>
    <col min="12032" max="12032" width="16.28515625" style="89" customWidth="1"/>
    <col min="12033" max="12033" width="35.42578125" style="89" customWidth="1"/>
    <col min="12034" max="12034" width="0.140625" style="89" customWidth="1"/>
    <col min="12035" max="12035" width="33.85546875" style="89" customWidth="1"/>
    <col min="12036" max="12036" width="14" style="89" customWidth="1"/>
    <col min="12037" max="12282" width="8.85546875" style="89"/>
    <col min="12283" max="12283" width="7.42578125" style="89" customWidth="1"/>
    <col min="12284" max="12284" width="45.7109375" style="89" customWidth="1"/>
    <col min="12285" max="12285" width="11" style="89" customWidth="1"/>
    <col min="12286" max="12286" width="10.28515625" style="89" customWidth="1"/>
    <col min="12287" max="12287" width="9.85546875" style="89" customWidth="1"/>
    <col min="12288" max="12288" width="16.28515625" style="89" customWidth="1"/>
    <col min="12289" max="12289" width="35.42578125" style="89" customWidth="1"/>
    <col min="12290" max="12290" width="0.140625" style="89" customWidth="1"/>
    <col min="12291" max="12291" width="33.85546875" style="89" customWidth="1"/>
    <col min="12292" max="12292" width="14" style="89" customWidth="1"/>
    <col min="12293" max="12538" width="8.85546875" style="89"/>
    <col min="12539" max="12539" width="7.42578125" style="89" customWidth="1"/>
    <col min="12540" max="12540" width="45.7109375" style="89" customWidth="1"/>
    <col min="12541" max="12541" width="11" style="89" customWidth="1"/>
    <col min="12542" max="12542" width="10.28515625" style="89" customWidth="1"/>
    <col min="12543" max="12543" width="9.85546875" style="89" customWidth="1"/>
    <col min="12544" max="12544" width="16.28515625" style="89" customWidth="1"/>
    <col min="12545" max="12545" width="35.42578125" style="89" customWidth="1"/>
    <col min="12546" max="12546" width="0.140625" style="89" customWidth="1"/>
    <col min="12547" max="12547" width="33.85546875" style="89" customWidth="1"/>
    <col min="12548" max="12548" width="14" style="89" customWidth="1"/>
    <col min="12549" max="12794" width="8.85546875" style="89"/>
    <col min="12795" max="12795" width="7.42578125" style="89" customWidth="1"/>
    <col min="12796" max="12796" width="45.7109375" style="89" customWidth="1"/>
    <col min="12797" max="12797" width="11" style="89" customWidth="1"/>
    <col min="12798" max="12798" width="10.28515625" style="89" customWidth="1"/>
    <col min="12799" max="12799" width="9.85546875" style="89" customWidth="1"/>
    <col min="12800" max="12800" width="16.28515625" style="89" customWidth="1"/>
    <col min="12801" max="12801" width="35.42578125" style="89" customWidth="1"/>
    <col min="12802" max="12802" width="0.140625" style="89" customWidth="1"/>
    <col min="12803" max="12803" width="33.85546875" style="89" customWidth="1"/>
    <col min="12804" max="12804" width="14" style="89" customWidth="1"/>
    <col min="12805" max="13050" width="8.85546875" style="89"/>
    <col min="13051" max="13051" width="7.42578125" style="89" customWidth="1"/>
    <col min="13052" max="13052" width="45.7109375" style="89" customWidth="1"/>
    <col min="13053" max="13053" width="11" style="89" customWidth="1"/>
    <col min="13054" max="13054" width="10.28515625" style="89" customWidth="1"/>
    <col min="13055" max="13055" width="9.85546875" style="89" customWidth="1"/>
    <col min="13056" max="13056" width="16.28515625" style="89" customWidth="1"/>
    <col min="13057" max="13057" width="35.42578125" style="89" customWidth="1"/>
    <col min="13058" max="13058" width="0.140625" style="89" customWidth="1"/>
    <col min="13059" max="13059" width="33.85546875" style="89" customWidth="1"/>
    <col min="13060" max="13060" width="14" style="89" customWidth="1"/>
    <col min="13061" max="13306" width="8.85546875" style="89"/>
    <col min="13307" max="13307" width="7.42578125" style="89" customWidth="1"/>
    <col min="13308" max="13308" width="45.7109375" style="89" customWidth="1"/>
    <col min="13309" max="13309" width="11" style="89" customWidth="1"/>
    <col min="13310" max="13310" width="10.28515625" style="89" customWidth="1"/>
    <col min="13311" max="13311" width="9.85546875" style="89" customWidth="1"/>
    <col min="13312" max="13312" width="16.28515625" style="89" customWidth="1"/>
    <col min="13313" max="13313" width="35.42578125" style="89" customWidth="1"/>
    <col min="13314" max="13314" width="0.140625" style="89" customWidth="1"/>
    <col min="13315" max="13315" width="33.85546875" style="89" customWidth="1"/>
    <col min="13316" max="13316" width="14" style="89" customWidth="1"/>
    <col min="13317" max="13562" width="8.85546875" style="89"/>
    <col min="13563" max="13563" width="7.42578125" style="89" customWidth="1"/>
    <col min="13564" max="13564" width="45.7109375" style="89" customWidth="1"/>
    <col min="13565" max="13565" width="11" style="89" customWidth="1"/>
    <col min="13566" max="13566" width="10.28515625" style="89" customWidth="1"/>
    <col min="13567" max="13567" width="9.85546875" style="89" customWidth="1"/>
    <col min="13568" max="13568" width="16.28515625" style="89" customWidth="1"/>
    <col min="13569" max="13569" width="35.42578125" style="89" customWidth="1"/>
    <col min="13570" max="13570" width="0.140625" style="89" customWidth="1"/>
    <col min="13571" max="13571" width="33.85546875" style="89" customWidth="1"/>
    <col min="13572" max="13572" width="14" style="89" customWidth="1"/>
    <col min="13573" max="13818" width="8.85546875" style="89"/>
    <col min="13819" max="13819" width="7.42578125" style="89" customWidth="1"/>
    <col min="13820" max="13820" width="45.7109375" style="89" customWidth="1"/>
    <col min="13821" max="13821" width="11" style="89" customWidth="1"/>
    <col min="13822" max="13822" width="10.28515625" style="89" customWidth="1"/>
    <col min="13823" max="13823" width="9.85546875" style="89" customWidth="1"/>
    <col min="13824" max="13824" width="16.28515625" style="89" customWidth="1"/>
    <col min="13825" max="13825" width="35.42578125" style="89" customWidth="1"/>
    <col min="13826" max="13826" width="0.140625" style="89" customWidth="1"/>
    <col min="13827" max="13827" width="33.85546875" style="89" customWidth="1"/>
    <col min="13828" max="13828" width="14" style="89" customWidth="1"/>
    <col min="13829" max="14074" width="8.85546875" style="89"/>
    <col min="14075" max="14075" width="7.42578125" style="89" customWidth="1"/>
    <col min="14076" max="14076" width="45.7109375" style="89" customWidth="1"/>
    <col min="14077" max="14077" width="11" style="89" customWidth="1"/>
    <col min="14078" max="14078" width="10.28515625" style="89" customWidth="1"/>
    <col min="14079" max="14079" width="9.85546875" style="89" customWidth="1"/>
    <col min="14080" max="14080" width="16.28515625" style="89" customWidth="1"/>
    <col min="14081" max="14081" width="35.42578125" style="89" customWidth="1"/>
    <col min="14082" max="14082" width="0.140625" style="89" customWidth="1"/>
    <col min="14083" max="14083" width="33.85546875" style="89" customWidth="1"/>
    <col min="14084" max="14084" width="14" style="89" customWidth="1"/>
    <col min="14085" max="14330" width="8.85546875" style="89"/>
    <col min="14331" max="14331" width="7.42578125" style="89" customWidth="1"/>
    <col min="14332" max="14332" width="45.7109375" style="89" customWidth="1"/>
    <col min="14333" max="14333" width="11" style="89" customWidth="1"/>
    <col min="14334" max="14334" width="10.28515625" style="89" customWidth="1"/>
    <col min="14335" max="14335" width="9.85546875" style="89" customWidth="1"/>
    <col min="14336" max="14336" width="16.28515625" style="89" customWidth="1"/>
    <col min="14337" max="14337" width="35.42578125" style="89" customWidth="1"/>
    <col min="14338" max="14338" width="0.140625" style="89" customWidth="1"/>
    <col min="14339" max="14339" width="33.85546875" style="89" customWidth="1"/>
    <col min="14340" max="14340" width="14" style="89" customWidth="1"/>
    <col min="14341" max="14586" width="8.85546875" style="89"/>
    <col min="14587" max="14587" width="7.42578125" style="89" customWidth="1"/>
    <col min="14588" max="14588" width="45.7109375" style="89" customWidth="1"/>
    <col min="14589" max="14589" width="11" style="89" customWidth="1"/>
    <col min="14590" max="14590" width="10.28515625" style="89" customWidth="1"/>
    <col min="14591" max="14591" width="9.85546875" style="89" customWidth="1"/>
    <col min="14592" max="14592" width="16.28515625" style="89" customWidth="1"/>
    <col min="14593" max="14593" width="35.42578125" style="89" customWidth="1"/>
    <col min="14594" max="14594" width="0.140625" style="89" customWidth="1"/>
    <col min="14595" max="14595" width="33.85546875" style="89" customWidth="1"/>
    <col min="14596" max="14596" width="14" style="89" customWidth="1"/>
    <col min="14597" max="14842" width="8.85546875" style="89"/>
    <col min="14843" max="14843" width="7.42578125" style="89" customWidth="1"/>
    <col min="14844" max="14844" width="45.7109375" style="89" customWidth="1"/>
    <col min="14845" max="14845" width="11" style="89" customWidth="1"/>
    <col min="14846" max="14846" width="10.28515625" style="89" customWidth="1"/>
    <col min="14847" max="14847" width="9.85546875" style="89" customWidth="1"/>
    <col min="14848" max="14848" width="16.28515625" style="89" customWidth="1"/>
    <col min="14849" max="14849" width="35.42578125" style="89" customWidth="1"/>
    <col min="14850" max="14850" width="0.140625" style="89" customWidth="1"/>
    <col min="14851" max="14851" width="33.85546875" style="89" customWidth="1"/>
    <col min="14852" max="14852" width="14" style="89" customWidth="1"/>
    <col min="14853" max="15098" width="8.85546875" style="89"/>
    <col min="15099" max="15099" width="7.42578125" style="89" customWidth="1"/>
    <col min="15100" max="15100" width="45.7109375" style="89" customWidth="1"/>
    <col min="15101" max="15101" width="11" style="89" customWidth="1"/>
    <col min="15102" max="15102" width="10.28515625" style="89" customWidth="1"/>
    <col min="15103" max="15103" width="9.85546875" style="89" customWidth="1"/>
    <col min="15104" max="15104" width="16.28515625" style="89" customWidth="1"/>
    <col min="15105" max="15105" width="35.42578125" style="89" customWidth="1"/>
    <col min="15106" max="15106" width="0.140625" style="89" customWidth="1"/>
    <col min="15107" max="15107" width="33.85546875" style="89" customWidth="1"/>
    <col min="15108" max="15108" width="14" style="89" customWidth="1"/>
    <col min="15109" max="15354" width="8.85546875" style="89"/>
    <col min="15355" max="15355" width="7.42578125" style="89" customWidth="1"/>
    <col min="15356" max="15356" width="45.7109375" style="89" customWidth="1"/>
    <col min="15357" max="15357" width="11" style="89" customWidth="1"/>
    <col min="15358" max="15358" width="10.28515625" style="89" customWidth="1"/>
    <col min="15359" max="15359" width="9.85546875" style="89" customWidth="1"/>
    <col min="15360" max="15360" width="16.28515625" style="89" customWidth="1"/>
    <col min="15361" max="15361" width="35.42578125" style="89" customWidth="1"/>
    <col min="15362" max="15362" width="0.140625" style="89" customWidth="1"/>
    <col min="15363" max="15363" width="33.85546875" style="89" customWidth="1"/>
    <col min="15364" max="15364" width="14" style="89" customWidth="1"/>
    <col min="15365" max="15610" width="8.85546875" style="89"/>
    <col min="15611" max="15611" width="7.42578125" style="89" customWidth="1"/>
    <col min="15612" max="15612" width="45.7109375" style="89" customWidth="1"/>
    <col min="15613" max="15613" width="11" style="89" customWidth="1"/>
    <col min="15614" max="15614" width="10.28515625" style="89" customWidth="1"/>
    <col min="15615" max="15615" width="9.85546875" style="89" customWidth="1"/>
    <col min="15616" max="15616" width="16.28515625" style="89" customWidth="1"/>
    <col min="15617" max="15617" width="35.42578125" style="89" customWidth="1"/>
    <col min="15618" max="15618" width="0.140625" style="89" customWidth="1"/>
    <col min="15619" max="15619" width="33.85546875" style="89" customWidth="1"/>
    <col min="15620" max="15620" width="14" style="89" customWidth="1"/>
    <col min="15621" max="15866" width="8.85546875" style="89"/>
    <col min="15867" max="15867" width="7.42578125" style="89" customWidth="1"/>
    <col min="15868" max="15868" width="45.7109375" style="89" customWidth="1"/>
    <col min="15869" max="15869" width="11" style="89" customWidth="1"/>
    <col min="15870" max="15870" width="10.28515625" style="89" customWidth="1"/>
    <col min="15871" max="15871" width="9.85546875" style="89" customWidth="1"/>
    <col min="15872" max="15872" width="16.28515625" style="89" customWidth="1"/>
    <col min="15873" max="15873" width="35.42578125" style="89" customWidth="1"/>
    <col min="15874" max="15874" width="0.140625" style="89" customWidth="1"/>
    <col min="15875" max="15875" width="33.85546875" style="89" customWidth="1"/>
    <col min="15876" max="15876" width="14" style="89" customWidth="1"/>
    <col min="15877" max="16122" width="8.85546875" style="89"/>
    <col min="16123" max="16123" width="7.42578125" style="89" customWidth="1"/>
    <col min="16124" max="16124" width="45.7109375" style="89" customWidth="1"/>
    <col min="16125" max="16125" width="11" style="89" customWidth="1"/>
    <col min="16126" max="16126" width="10.28515625" style="89" customWidth="1"/>
    <col min="16127" max="16127" width="9.85546875" style="89" customWidth="1"/>
    <col min="16128" max="16128" width="16.28515625" style="89" customWidth="1"/>
    <col min="16129" max="16129" width="35.42578125" style="89" customWidth="1"/>
    <col min="16130" max="16130" width="0.140625" style="89" customWidth="1"/>
    <col min="16131" max="16131" width="33.85546875" style="89" customWidth="1"/>
    <col min="16132" max="16132" width="14" style="89" customWidth="1"/>
    <col min="16133" max="16384" width="8.85546875" style="89"/>
  </cols>
  <sheetData>
    <row r="1" spans="2:18" x14ac:dyDescent="0.25">
      <c r="B1" s="116"/>
      <c r="C1" s="116"/>
      <c r="D1" s="116"/>
      <c r="E1" s="116"/>
      <c r="F1" s="116"/>
      <c r="G1" s="116"/>
      <c r="H1" s="192" t="s">
        <v>32</v>
      </c>
      <c r="I1" s="193"/>
      <c r="J1" s="192" t="s">
        <v>33</v>
      </c>
      <c r="K1" s="193"/>
      <c r="L1" s="192" t="s">
        <v>34</v>
      </c>
      <c r="M1" s="193"/>
    </row>
    <row r="2" spans="2:18" ht="75.75" customHeight="1" x14ac:dyDescent="0.25">
      <c r="B2" s="14"/>
      <c r="C2" s="14"/>
      <c r="D2" s="14"/>
      <c r="E2" s="14"/>
      <c r="F2" s="14"/>
      <c r="G2" s="14"/>
      <c r="H2" s="83" t="s">
        <v>35</v>
      </c>
      <c r="I2" s="82" t="s">
        <v>36</v>
      </c>
      <c r="J2" s="83" t="s">
        <v>35</v>
      </c>
      <c r="K2" s="82" t="s">
        <v>36</v>
      </c>
      <c r="L2" s="83" t="s">
        <v>35</v>
      </c>
      <c r="M2" s="82" t="s">
        <v>36</v>
      </c>
    </row>
    <row r="3" spans="2:18" ht="15" customHeight="1" x14ac:dyDescent="0.25">
      <c r="B3" s="190" t="s">
        <v>37</v>
      </c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</row>
    <row r="4" spans="2:18" x14ac:dyDescent="0.25">
      <c r="B4" s="117">
        <v>1</v>
      </c>
      <c r="C4" s="118" t="s">
        <v>38</v>
      </c>
      <c r="D4" s="119"/>
      <c r="E4" s="120"/>
      <c r="F4" s="121" t="s">
        <v>16</v>
      </c>
      <c r="G4" s="114" t="s">
        <v>39</v>
      </c>
      <c r="H4" s="122" t="s">
        <v>40</v>
      </c>
      <c r="I4" s="52" t="s">
        <v>40</v>
      </c>
      <c r="J4" s="67" t="s">
        <v>40</v>
      </c>
      <c r="K4" s="52" t="s">
        <v>40</v>
      </c>
      <c r="L4" s="67" t="s">
        <v>40</v>
      </c>
      <c r="M4" s="32" t="s">
        <v>40</v>
      </c>
    </row>
    <row r="5" spans="2:18" x14ac:dyDescent="0.25">
      <c r="B5" s="1" t="s">
        <v>41</v>
      </c>
      <c r="C5" s="118" t="s">
        <v>42</v>
      </c>
      <c r="D5" s="123"/>
      <c r="E5" s="120"/>
      <c r="F5" s="124">
        <v>1</v>
      </c>
      <c r="G5" s="59">
        <v>1</v>
      </c>
      <c r="H5" s="35">
        <f>I5</f>
        <v>4087.04</v>
      </c>
      <c r="I5" s="53">
        <v>4087.04</v>
      </c>
      <c r="J5" s="35">
        <f>K5</f>
        <v>6777.39</v>
      </c>
      <c r="K5" s="53">
        <v>6777.39</v>
      </c>
      <c r="L5" s="35">
        <f>M5</f>
        <v>8128.6</v>
      </c>
      <c r="M5" s="33">
        <v>8128.6</v>
      </c>
    </row>
    <row r="6" spans="2:18" x14ac:dyDescent="0.25">
      <c r="B6" s="1" t="s">
        <v>43</v>
      </c>
      <c r="C6" s="118" t="s">
        <v>44</v>
      </c>
      <c r="D6" s="123"/>
      <c r="E6" s="120"/>
      <c r="F6" s="120"/>
      <c r="G6" s="29"/>
      <c r="H6" s="35"/>
      <c r="I6" s="28"/>
      <c r="J6" s="35"/>
      <c r="K6" s="28"/>
      <c r="L6" s="35"/>
      <c r="M6" s="34"/>
    </row>
    <row r="7" spans="2:18" x14ac:dyDescent="0.25">
      <c r="B7" s="10" t="s">
        <v>45</v>
      </c>
      <c r="C7" s="11" t="s">
        <v>46</v>
      </c>
      <c r="D7" s="123"/>
      <c r="E7" s="120"/>
      <c r="F7" s="120"/>
      <c r="G7" s="29"/>
      <c r="H7" s="35"/>
      <c r="I7" s="28"/>
      <c r="J7" s="35"/>
      <c r="K7" s="28"/>
      <c r="L7" s="35"/>
      <c r="M7" s="34"/>
    </row>
    <row r="8" spans="2:18" ht="45" x14ac:dyDescent="0.25">
      <c r="B8" s="10" t="s">
        <v>47</v>
      </c>
      <c r="C8" s="11" t="s">
        <v>48</v>
      </c>
      <c r="D8" s="123"/>
      <c r="E8" s="120"/>
      <c r="F8" s="120"/>
      <c r="G8" s="29"/>
      <c r="H8" s="86">
        <v>0</v>
      </c>
      <c r="I8" s="28">
        <f>((((($I$5+$I$6+$I$7)/(200)*20%))*10))</f>
        <v>40.870400000000004</v>
      </c>
      <c r="J8" s="86">
        <v>0</v>
      </c>
      <c r="K8" s="28">
        <f t="shared" ref="K8" si="0">(((((K5+K6+K7)/(200)*20%))*10))</f>
        <v>67.773899999999998</v>
      </c>
      <c r="L8" s="86">
        <v>0</v>
      </c>
      <c r="M8" s="34">
        <f>(((((M5+M6+M7)/(200)*20%))*10))</f>
        <v>81.286000000000001</v>
      </c>
      <c r="O8" s="125"/>
      <c r="P8" s="125"/>
      <c r="Q8" s="125"/>
    </row>
    <row r="9" spans="2:18" ht="45" x14ac:dyDescent="0.25">
      <c r="B9" s="10" t="s">
        <v>49</v>
      </c>
      <c r="C9" s="11" t="s">
        <v>50</v>
      </c>
      <c r="D9" s="123"/>
      <c r="E9" s="120"/>
      <c r="F9" s="120"/>
      <c r="G9" s="28"/>
      <c r="H9" s="86">
        <v>0</v>
      </c>
      <c r="I9" s="28">
        <f>((((($I$5+$I$6+$I$7+I8)/(200)*150%))*10))</f>
        <v>309.59327999999999</v>
      </c>
      <c r="J9" s="86">
        <v>0</v>
      </c>
      <c r="K9" s="28">
        <f>((((($K$5+$K$6+$K$7+K8)/(200)*150%))*10))</f>
        <v>513.38729250000006</v>
      </c>
      <c r="L9" s="86">
        <v>0</v>
      </c>
      <c r="M9" s="34">
        <f>((((($M$5+$M$6+$M$7+M8)/(200)*150%))*10))</f>
        <v>615.74144999999999</v>
      </c>
      <c r="O9" s="125"/>
      <c r="P9" s="125"/>
      <c r="Q9" s="125"/>
      <c r="R9" s="125"/>
    </row>
    <row r="10" spans="2:18" ht="45" x14ac:dyDescent="0.25">
      <c r="B10" s="10" t="s">
        <v>51</v>
      </c>
      <c r="C10" s="11" t="s">
        <v>52</v>
      </c>
      <c r="D10" s="123"/>
      <c r="E10" s="120"/>
      <c r="F10" s="120"/>
      <c r="G10" s="28"/>
      <c r="H10" s="86">
        <v>0</v>
      </c>
      <c r="I10" s="28">
        <f>((((($I$5+$I$6+$I$7+I8)/(200)*200%))*10))</f>
        <v>412.79103999999995</v>
      </c>
      <c r="J10" s="86">
        <v>0</v>
      </c>
      <c r="K10" s="28">
        <f>((((($K$5+$K$6+$K$7+K8)/(200)*200%))*10))</f>
        <v>684.51639</v>
      </c>
      <c r="L10" s="86">
        <v>0</v>
      </c>
      <c r="M10" s="34">
        <f>((((($M$5+$M$6+$M$7+M8)/(200)*200%))*10))</f>
        <v>820.98860000000002</v>
      </c>
      <c r="O10" s="125"/>
    </row>
    <row r="11" spans="2:18" ht="30" x14ac:dyDescent="0.25">
      <c r="B11" s="10" t="s">
        <v>53</v>
      </c>
      <c r="C11" s="11" t="s">
        <v>54</v>
      </c>
      <c r="D11" s="123"/>
      <c r="E11" s="120"/>
      <c r="F11" s="120"/>
      <c r="G11" s="29"/>
      <c r="H11" s="126"/>
      <c r="I11" s="28"/>
      <c r="J11" s="35"/>
      <c r="K11" s="28"/>
      <c r="L11" s="35"/>
      <c r="M11" s="34"/>
    </row>
    <row r="12" spans="2:18" x14ac:dyDescent="0.25">
      <c r="B12" s="10" t="s">
        <v>55</v>
      </c>
      <c r="C12" s="11" t="s">
        <v>56</v>
      </c>
      <c r="D12" s="123"/>
      <c r="E12" s="120"/>
      <c r="F12" s="120"/>
      <c r="G12" s="29"/>
      <c r="H12" s="126"/>
      <c r="I12" s="28"/>
      <c r="J12" s="35"/>
      <c r="K12" s="28"/>
      <c r="L12" s="35"/>
      <c r="M12" s="34"/>
    </row>
    <row r="13" spans="2:18" x14ac:dyDescent="0.25">
      <c r="B13" s="198" t="s">
        <v>57</v>
      </c>
      <c r="C13" s="198"/>
      <c r="D13" s="198"/>
      <c r="E13" s="198"/>
      <c r="F13" s="198"/>
      <c r="G13" s="127"/>
      <c r="H13" s="68">
        <f t="shared" ref="H13:M13" si="1">SUM(H5:H12)</f>
        <v>4087.04</v>
      </c>
      <c r="I13" s="36">
        <f t="shared" si="1"/>
        <v>4850.2947199999999</v>
      </c>
      <c r="J13" s="68">
        <f t="shared" si="1"/>
        <v>6777.39</v>
      </c>
      <c r="K13" s="36">
        <f t="shared" si="1"/>
        <v>8043.0675825000008</v>
      </c>
      <c r="L13" s="68">
        <f t="shared" si="1"/>
        <v>8128.6</v>
      </c>
      <c r="M13" s="36">
        <f t="shared" si="1"/>
        <v>9646.6160500000005</v>
      </c>
    </row>
    <row r="14" spans="2:18" x14ac:dyDescent="0.25">
      <c r="B14" s="1"/>
      <c r="C14" s="120"/>
      <c r="D14" s="123"/>
      <c r="E14" s="120"/>
      <c r="F14" s="120"/>
      <c r="G14" s="29"/>
      <c r="H14" s="126"/>
      <c r="I14" s="28"/>
      <c r="J14" s="35"/>
      <c r="K14" s="28"/>
      <c r="L14" s="35"/>
      <c r="M14" s="34"/>
    </row>
    <row r="15" spans="2:18" ht="15" customHeight="1" x14ac:dyDescent="0.25">
      <c r="B15" s="190" t="s">
        <v>58</v>
      </c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</row>
    <row r="16" spans="2:18" ht="30" x14ac:dyDescent="0.25">
      <c r="B16" s="2" t="s">
        <v>59</v>
      </c>
      <c r="C16" s="2" t="s">
        <v>60</v>
      </c>
      <c r="D16" s="87"/>
      <c r="E16" s="87"/>
      <c r="F16" s="87"/>
      <c r="G16" s="15" t="s">
        <v>61</v>
      </c>
      <c r="H16" s="42" t="s">
        <v>40</v>
      </c>
      <c r="I16" s="60" t="s">
        <v>40</v>
      </c>
      <c r="J16" s="74" t="s">
        <v>40</v>
      </c>
      <c r="K16" s="60" t="s">
        <v>40</v>
      </c>
      <c r="L16" s="74" t="s">
        <v>40</v>
      </c>
      <c r="M16" s="43" t="s">
        <v>40</v>
      </c>
    </row>
    <row r="17" spans="2:14" x14ac:dyDescent="0.25">
      <c r="B17" s="1" t="s">
        <v>41</v>
      </c>
      <c r="C17" s="3" t="s">
        <v>62</v>
      </c>
      <c r="D17" s="120"/>
      <c r="E17" s="120"/>
      <c r="F17" s="120"/>
      <c r="G17" s="29">
        <f>1/12</f>
        <v>8.3333333333333329E-2</v>
      </c>
      <c r="H17" s="35">
        <f t="shared" ref="H17:M17" si="2">ROUND(($G$17*H13),2)</f>
        <v>340.59</v>
      </c>
      <c r="I17" s="55">
        <f t="shared" si="2"/>
        <v>404.19</v>
      </c>
      <c r="J17" s="69">
        <f t="shared" si="2"/>
        <v>564.78</v>
      </c>
      <c r="K17" s="55">
        <f t="shared" si="2"/>
        <v>670.26</v>
      </c>
      <c r="L17" s="69">
        <f t="shared" si="2"/>
        <v>677.38</v>
      </c>
      <c r="M17" s="37">
        <f t="shared" si="2"/>
        <v>803.88</v>
      </c>
    </row>
    <row r="18" spans="2:14" x14ac:dyDescent="0.25">
      <c r="B18" s="1" t="s">
        <v>43</v>
      </c>
      <c r="C18" s="3" t="s">
        <v>63</v>
      </c>
      <c r="D18" s="120"/>
      <c r="E18" s="120"/>
      <c r="F18" s="120"/>
      <c r="G18" s="29">
        <v>0.121</v>
      </c>
      <c r="H18" s="35">
        <f t="shared" ref="H18:M18" si="3">ROUND(($G$18*H13),2)</f>
        <v>494.53</v>
      </c>
      <c r="I18" s="55">
        <f t="shared" si="3"/>
        <v>586.89</v>
      </c>
      <c r="J18" s="69">
        <f t="shared" si="3"/>
        <v>820.06</v>
      </c>
      <c r="K18" s="55">
        <f t="shared" si="3"/>
        <v>973.21</v>
      </c>
      <c r="L18" s="69">
        <f t="shared" si="3"/>
        <v>983.56</v>
      </c>
      <c r="M18" s="37">
        <f t="shared" si="3"/>
        <v>1167.24</v>
      </c>
    </row>
    <row r="19" spans="2:14" x14ac:dyDescent="0.25">
      <c r="B19" s="1"/>
      <c r="C19" s="128" t="s">
        <v>40</v>
      </c>
      <c r="D19" s="120"/>
      <c r="E19" s="120"/>
      <c r="F19" s="120"/>
      <c r="G19" s="129">
        <f t="shared" ref="G19" si="4">SUM(G17:G18)</f>
        <v>0.20433333333333331</v>
      </c>
      <c r="H19" s="67">
        <f t="shared" ref="H19:M19" si="5">SUM(H17:H18)</f>
        <v>835.11999999999989</v>
      </c>
      <c r="I19" s="56">
        <f t="shared" si="5"/>
        <v>991.07999999999993</v>
      </c>
      <c r="J19" s="70">
        <f t="shared" si="5"/>
        <v>1384.84</v>
      </c>
      <c r="K19" s="56">
        <f t="shared" si="5"/>
        <v>1643.47</v>
      </c>
      <c r="L19" s="70">
        <f t="shared" si="5"/>
        <v>1660.94</v>
      </c>
      <c r="M19" s="38">
        <f t="shared" si="5"/>
        <v>1971.12</v>
      </c>
    </row>
    <row r="20" spans="2:14" x14ac:dyDescent="0.25">
      <c r="B20" s="1" t="s">
        <v>47</v>
      </c>
      <c r="C20" s="3" t="s">
        <v>64</v>
      </c>
      <c r="D20" s="3"/>
      <c r="E20" s="3"/>
      <c r="F20" s="3"/>
      <c r="G20" s="29">
        <f>G19*G32</f>
        <v>7.5194666666666674E-2</v>
      </c>
      <c r="H20" s="35">
        <f t="shared" ref="H20:M20" si="6">ROUND(($G$20*H13),2)</f>
        <v>307.32</v>
      </c>
      <c r="I20" s="57">
        <f t="shared" si="6"/>
        <v>364.72</v>
      </c>
      <c r="J20" s="71">
        <f t="shared" si="6"/>
        <v>509.62</v>
      </c>
      <c r="K20" s="57">
        <f t="shared" si="6"/>
        <v>604.79999999999995</v>
      </c>
      <c r="L20" s="71">
        <f t="shared" si="6"/>
        <v>611.23</v>
      </c>
      <c r="M20" s="39">
        <f t="shared" si="6"/>
        <v>725.37</v>
      </c>
    </row>
    <row r="21" spans="2:14" x14ac:dyDescent="0.25">
      <c r="B21" s="5"/>
      <c r="C21" s="5" t="s">
        <v>65</v>
      </c>
      <c r="D21" s="88"/>
      <c r="E21" s="88"/>
      <c r="F21" s="88"/>
      <c r="G21" s="30">
        <f t="shared" ref="G21:M21" si="7">SUM(G19:G20)</f>
        <v>0.279528</v>
      </c>
      <c r="H21" s="74">
        <f t="shared" si="7"/>
        <v>1142.4399999999998</v>
      </c>
      <c r="I21" s="58">
        <f t="shared" si="7"/>
        <v>1355.8</v>
      </c>
      <c r="J21" s="72">
        <f t="shared" si="7"/>
        <v>1894.46</v>
      </c>
      <c r="K21" s="58">
        <f t="shared" si="7"/>
        <v>2248.27</v>
      </c>
      <c r="L21" s="72">
        <f t="shared" si="7"/>
        <v>2272.17</v>
      </c>
      <c r="M21" s="40">
        <f t="shared" si="7"/>
        <v>2696.49</v>
      </c>
    </row>
    <row r="22" spans="2:14" x14ac:dyDescent="0.25">
      <c r="B22" s="21"/>
      <c r="C22" s="21"/>
      <c r="D22" s="21"/>
      <c r="E22" s="21"/>
      <c r="F22" s="21"/>
      <c r="G22" s="21"/>
      <c r="H22" s="130"/>
      <c r="I22" s="21"/>
      <c r="J22" s="130"/>
      <c r="K22" s="21"/>
      <c r="L22" s="130"/>
      <c r="M22" s="131"/>
      <c r="N22" s="21"/>
    </row>
    <row r="23" spans="2:14" ht="30" x14ac:dyDescent="0.25">
      <c r="B23" s="2" t="s">
        <v>66</v>
      </c>
      <c r="C23" s="87" t="s">
        <v>67</v>
      </c>
      <c r="D23" s="88"/>
      <c r="E23" s="88"/>
      <c r="F23" s="88"/>
      <c r="G23" s="15" t="s">
        <v>61</v>
      </c>
      <c r="H23" s="42" t="s">
        <v>40</v>
      </c>
      <c r="I23" s="60" t="s">
        <v>40</v>
      </c>
      <c r="J23" s="74" t="s">
        <v>40</v>
      </c>
      <c r="K23" s="60" t="s">
        <v>40</v>
      </c>
      <c r="L23" s="74" t="s">
        <v>40</v>
      </c>
      <c r="M23" s="43" t="s">
        <v>40</v>
      </c>
    </row>
    <row r="24" spans="2:14" s="21" customFormat="1" x14ac:dyDescent="0.25">
      <c r="B24" s="1" t="s">
        <v>41</v>
      </c>
      <c r="C24" s="3" t="s">
        <v>68</v>
      </c>
      <c r="D24" s="120"/>
      <c r="E24" s="120"/>
      <c r="F24" s="120"/>
      <c r="G24" s="29">
        <v>0.2</v>
      </c>
      <c r="H24" s="35">
        <f t="shared" ref="H24:M24" si="8">ROUND(($G$24*H13),2)</f>
        <v>817.41</v>
      </c>
      <c r="I24" s="55">
        <f t="shared" si="8"/>
        <v>970.06</v>
      </c>
      <c r="J24" s="69">
        <f t="shared" si="8"/>
        <v>1355.48</v>
      </c>
      <c r="K24" s="55">
        <f t="shared" si="8"/>
        <v>1608.61</v>
      </c>
      <c r="L24" s="69">
        <f t="shared" si="8"/>
        <v>1625.72</v>
      </c>
      <c r="M24" s="37">
        <f t="shared" si="8"/>
        <v>1929.32</v>
      </c>
    </row>
    <row r="25" spans="2:14" s="21" customFormat="1" x14ac:dyDescent="0.25">
      <c r="B25" s="1" t="s">
        <v>43</v>
      </c>
      <c r="C25" s="3" t="s">
        <v>69</v>
      </c>
      <c r="D25" s="120"/>
      <c r="E25" s="120"/>
      <c r="F25" s="120"/>
      <c r="G25" s="29">
        <v>2.5000000000000001E-2</v>
      </c>
      <c r="H25" s="35">
        <f t="shared" ref="H25:M25" si="9">ROUND(($G$25*H13),2)</f>
        <v>102.18</v>
      </c>
      <c r="I25" s="55">
        <f t="shared" si="9"/>
        <v>121.26</v>
      </c>
      <c r="J25" s="69">
        <f t="shared" si="9"/>
        <v>169.43</v>
      </c>
      <c r="K25" s="55">
        <f t="shared" si="9"/>
        <v>201.08</v>
      </c>
      <c r="L25" s="69">
        <f t="shared" si="9"/>
        <v>203.22</v>
      </c>
      <c r="M25" s="37">
        <f t="shared" si="9"/>
        <v>241.17</v>
      </c>
    </row>
    <row r="26" spans="2:14" s="21" customFormat="1" x14ac:dyDescent="0.25">
      <c r="B26" s="132" t="s">
        <v>45</v>
      </c>
      <c r="C26" s="7" t="s">
        <v>70</v>
      </c>
      <c r="D26" s="133"/>
      <c r="E26" s="133"/>
      <c r="F26" s="133"/>
      <c r="G26" s="31">
        <v>0.03</v>
      </c>
      <c r="H26" s="75">
        <f t="shared" ref="H26:M26" si="10">ROUND(($G$26*H13),2)</f>
        <v>122.61</v>
      </c>
      <c r="I26" s="55">
        <f t="shared" si="10"/>
        <v>145.51</v>
      </c>
      <c r="J26" s="69">
        <f t="shared" si="10"/>
        <v>203.32</v>
      </c>
      <c r="K26" s="55">
        <f t="shared" si="10"/>
        <v>241.29</v>
      </c>
      <c r="L26" s="69">
        <f t="shared" si="10"/>
        <v>243.86</v>
      </c>
      <c r="M26" s="37">
        <f t="shared" si="10"/>
        <v>289.39999999999998</v>
      </c>
    </row>
    <row r="27" spans="2:14" s="21" customFormat="1" x14ac:dyDescent="0.25">
      <c r="B27" s="1" t="s">
        <v>47</v>
      </c>
      <c r="C27" s="3" t="s">
        <v>71</v>
      </c>
      <c r="D27" s="134"/>
      <c r="E27" s="120"/>
      <c r="F27" s="120"/>
      <c r="G27" s="29">
        <v>1.4999999999999999E-2</v>
      </c>
      <c r="H27" s="35">
        <f t="shared" ref="H27:M27" si="11">ROUND(($G$27*H13),2)</f>
        <v>61.31</v>
      </c>
      <c r="I27" s="55">
        <f t="shared" si="11"/>
        <v>72.75</v>
      </c>
      <c r="J27" s="69">
        <f t="shared" si="11"/>
        <v>101.66</v>
      </c>
      <c r="K27" s="55">
        <f t="shared" si="11"/>
        <v>120.65</v>
      </c>
      <c r="L27" s="69">
        <f t="shared" si="11"/>
        <v>121.93</v>
      </c>
      <c r="M27" s="37">
        <f t="shared" si="11"/>
        <v>144.69999999999999</v>
      </c>
    </row>
    <row r="28" spans="2:14" x14ac:dyDescent="0.25">
      <c r="B28" s="1" t="s">
        <v>49</v>
      </c>
      <c r="C28" s="3" t="s">
        <v>72</v>
      </c>
      <c r="D28" s="134"/>
      <c r="E28" s="120"/>
      <c r="F28" s="120"/>
      <c r="G28" s="29">
        <v>0.01</v>
      </c>
      <c r="H28" s="35">
        <f t="shared" ref="H28:M28" si="12">ROUND(($G$28*H13),2)</f>
        <v>40.869999999999997</v>
      </c>
      <c r="I28" s="55">
        <f t="shared" si="12"/>
        <v>48.5</v>
      </c>
      <c r="J28" s="69">
        <f t="shared" si="12"/>
        <v>67.77</v>
      </c>
      <c r="K28" s="55">
        <f t="shared" si="12"/>
        <v>80.430000000000007</v>
      </c>
      <c r="L28" s="69">
        <f t="shared" si="12"/>
        <v>81.290000000000006</v>
      </c>
      <c r="M28" s="37">
        <f t="shared" si="12"/>
        <v>96.47</v>
      </c>
    </row>
    <row r="29" spans="2:14" x14ac:dyDescent="0.25">
      <c r="B29" s="1" t="s">
        <v>51</v>
      </c>
      <c r="C29" s="3" t="s">
        <v>73</v>
      </c>
      <c r="D29" s="134"/>
      <c r="E29" s="120"/>
      <c r="F29" s="120"/>
      <c r="G29" s="29">
        <v>6.0000000000000001E-3</v>
      </c>
      <c r="H29" s="35">
        <f t="shared" ref="H29:M29" si="13">ROUND(($G$29*H13),2)</f>
        <v>24.52</v>
      </c>
      <c r="I29" s="55">
        <f t="shared" si="13"/>
        <v>29.1</v>
      </c>
      <c r="J29" s="69">
        <f t="shared" si="13"/>
        <v>40.659999999999997</v>
      </c>
      <c r="K29" s="55">
        <f t="shared" si="13"/>
        <v>48.26</v>
      </c>
      <c r="L29" s="69">
        <f t="shared" si="13"/>
        <v>48.77</v>
      </c>
      <c r="M29" s="37">
        <f t="shared" si="13"/>
        <v>57.88</v>
      </c>
    </row>
    <row r="30" spans="2:14" x14ac:dyDescent="0.25">
      <c r="B30" s="1" t="s">
        <v>53</v>
      </c>
      <c r="C30" s="3" t="s">
        <v>74</v>
      </c>
      <c r="D30" s="120"/>
      <c r="E30" s="120"/>
      <c r="F30" s="120"/>
      <c r="G30" s="29">
        <v>2E-3</v>
      </c>
      <c r="H30" s="35">
        <f t="shared" ref="H30:M30" si="14">ROUND(($G$30*H13),2)</f>
        <v>8.17</v>
      </c>
      <c r="I30" s="55">
        <f t="shared" si="14"/>
        <v>9.6999999999999993</v>
      </c>
      <c r="J30" s="69">
        <f t="shared" si="14"/>
        <v>13.55</v>
      </c>
      <c r="K30" s="55">
        <f t="shared" si="14"/>
        <v>16.09</v>
      </c>
      <c r="L30" s="69">
        <f t="shared" si="14"/>
        <v>16.260000000000002</v>
      </c>
      <c r="M30" s="37">
        <f t="shared" si="14"/>
        <v>19.29</v>
      </c>
    </row>
    <row r="31" spans="2:14" x14ac:dyDescent="0.25">
      <c r="B31" s="1" t="s">
        <v>55</v>
      </c>
      <c r="C31" s="3" t="s">
        <v>75</v>
      </c>
      <c r="D31" s="120"/>
      <c r="E31" s="120"/>
      <c r="F31" s="120"/>
      <c r="G31" s="29">
        <v>0.08</v>
      </c>
      <c r="H31" s="35">
        <f t="shared" ref="H31:M31" si="15">ROUND(($G$31*H13),2)</f>
        <v>326.95999999999998</v>
      </c>
      <c r="I31" s="55">
        <f t="shared" si="15"/>
        <v>388.02</v>
      </c>
      <c r="J31" s="69">
        <f t="shared" si="15"/>
        <v>542.19000000000005</v>
      </c>
      <c r="K31" s="55">
        <f t="shared" si="15"/>
        <v>643.45000000000005</v>
      </c>
      <c r="L31" s="69">
        <f t="shared" si="15"/>
        <v>650.29</v>
      </c>
      <c r="M31" s="37">
        <f t="shared" si="15"/>
        <v>771.73</v>
      </c>
    </row>
    <row r="32" spans="2:14" x14ac:dyDescent="0.25">
      <c r="B32" s="135"/>
      <c r="C32" s="5" t="s">
        <v>76</v>
      </c>
      <c r="D32" s="88"/>
      <c r="E32" s="88"/>
      <c r="F32" s="88"/>
      <c r="G32" s="30">
        <f>SUM(G24:G31)</f>
        <v>0.36800000000000005</v>
      </c>
      <c r="H32" s="74">
        <f>SUM(H24:H31)</f>
        <v>1504.0299999999997</v>
      </c>
      <c r="I32" s="58">
        <f>SUM(I24:I31)</f>
        <v>1784.8999999999999</v>
      </c>
      <c r="J32" s="72">
        <f t="shared" ref="J32:K32" si="16">SUM(J24:J31)</f>
        <v>2494.0600000000004</v>
      </c>
      <c r="K32" s="58">
        <f t="shared" si="16"/>
        <v>2959.8600000000006</v>
      </c>
      <c r="L32" s="72">
        <f>SUM(L24:L31)</f>
        <v>2991.34</v>
      </c>
      <c r="M32" s="40">
        <f>SUM(M24:M31)</f>
        <v>3549.9599999999996</v>
      </c>
    </row>
    <row r="33" spans="2:14" x14ac:dyDescent="0.25">
      <c r="B33" s="1"/>
      <c r="C33" s="128"/>
      <c r="D33" s="120"/>
      <c r="E33" s="120"/>
      <c r="F33" s="120"/>
      <c r="G33" s="59"/>
      <c r="H33" s="73"/>
      <c r="I33" s="59"/>
      <c r="J33" s="73"/>
      <c r="K33" s="59"/>
      <c r="L33" s="73"/>
      <c r="M33" s="41"/>
    </row>
    <row r="34" spans="2:14" ht="30" x14ac:dyDescent="0.25">
      <c r="B34" s="2" t="s">
        <v>77</v>
      </c>
      <c r="C34" s="2" t="s">
        <v>78</v>
      </c>
      <c r="D34" s="6" t="s">
        <v>79</v>
      </c>
      <c r="E34" s="2" t="s">
        <v>80</v>
      </c>
      <c r="F34" s="2" t="s">
        <v>39</v>
      </c>
      <c r="G34" s="30" t="s">
        <v>81</v>
      </c>
      <c r="H34" s="42" t="s">
        <v>40</v>
      </c>
      <c r="I34" s="60" t="s">
        <v>40</v>
      </c>
      <c r="J34" s="74" t="s">
        <v>40</v>
      </c>
      <c r="K34" s="60" t="s">
        <v>40</v>
      </c>
      <c r="L34" s="74" t="s">
        <v>40</v>
      </c>
      <c r="M34" s="43" t="s">
        <v>40</v>
      </c>
    </row>
    <row r="35" spans="2:14" x14ac:dyDescent="0.25">
      <c r="B35" s="1" t="s">
        <v>41</v>
      </c>
      <c r="C35" s="120" t="s">
        <v>82</v>
      </c>
      <c r="D35" s="136">
        <v>0.06</v>
      </c>
      <c r="E35" s="1">
        <v>21</v>
      </c>
      <c r="F35" s="1">
        <v>2</v>
      </c>
      <c r="G35" s="61">
        <v>5.5</v>
      </c>
      <c r="H35" s="75">
        <f t="shared" ref="H35:M35" si="17">IF(($G$35*$E$35*$F$35)-$D$35*H5&lt;0,0,($G$35*$E$35*$F$35)-$D$35*H5)</f>
        <v>0</v>
      </c>
      <c r="I35" s="28">
        <f t="shared" si="17"/>
        <v>0</v>
      </c>
      <c r="J35" s="35">
        <f t="shared" si="17"/>
        <v>0</v>
      </c>
      <c r="K35" s="28">
        <f t="shared" si="17"/>
        <v>0</v>
      </c>
      <c r="L35" s="35">
        <f t="shared" si="17"/>
        <v>0</v>
      </c>
      <c r="M35" s="34">
        <f t="shared" si="17"/>
        <v>0</v>
      </c>
    </row>
    <row r="36" spans="2:14" x14ac:dyDescent="0.25">
      <c r="B36" s="1" t="s">
        <v>43</v>
      </c>
      <c r="C36" s="120" t="s">
        <v>83</v>
      </c>
      <c r="D36" s="137"/>
      <c r="E36" s="1">
        <v>21</v>
      </c>
      <c r="F36" s="1">
        <v>1</v>
      </c>
      <c r="G36" s="61">
        <v>44.3</v>
      </c>
      <c r="H36" s="75">
        <f t="shared" ref="H36:M36" si="18">$E$36*$G$36</f>
        <v>930.3</v>
      </c>
      <c r="I36" s="61">
        <f t="shared" si="18"/>
        <v>930.3</v>
      </c>
      <c r="J36" s="75">
        <f t="shared" si="18"/>
        <v>930.3</v>
      </c>
      <c r="K36" s="61">
        <f t="shared" si="18"/>
        <v>930.3</v>
      </c>
      <c r="L36" s="75">
        <f t="shared" si="18"/>
        <v>930.3</v>
      </c>
      <c r="M36" s="44">
        <f t="shared" si="18"/>
        <v>930.3</v>
      </c>
    </row>
    <row r="37" spans="2:14" x14ac:dyDescent="0.25">
      <c r="B37" s="1" t="s">
        <v>45</v>
      </c>
      <c r="C37" s="120" t="s">
        <v>84</v>
      </c>
      <c r="D37" s="137"/>
      <c r="E37" s="1">
        <v>30</v>
      </c>
      <c r="F37" s="1">
        <v>1</v>
      </c>
      <c r="G37" s="61">
        <v>0</v>
      </c>
      <c r="H37" s="75">
        <f>$F$37*$G$37</f>
        <v>0</v>
      </c>
      <c r="I37" s="61">
        <f>$F$37*$G$37</f>
        <v>0</v>
      </c>
      <c r="J37" s="75">
        <f t="shared" ref="J37:M37" si="19">$F$37*$G$37</f>
        <v>0</v>
      </c>
      <c r="K37" s="61">
        <f t="shared" si="19"/>
        <v>0</v>
      </c>
      <c r="L37" s="75">
        <f t="shared" si="19"/>
        <v>0</v>
      </c>
      <c r="M37" s="44">
        <f t="shared" si="19"/>
        <v>0</v>
      </c>
    </row>
    <row r="38" spans="2:14" x14ac:dyDescent="0.25">
      <c r="B38" s="1" t="s">
        <v>47</v>
      </c>
      <c r="C38" s="120" t="s">
        <v>85</v>
      </c>
      <c r="D38" s="137"/>
      <c r="E38" s="1">
        <v>30</v>
      </c>
      <c r="F38" s="1">
        <v>1</v>
      </c>
      <c r="G38" s="61">
        <v>0</v>
      </c>
      <c r="H38" s="75">
        <f>$F$38*$G$38</f>
        <v>0</v>
      </c>
      <c r="I38" s="61">
        <f>$F$38*$G$38</f>
        <v>0</v>
      </c>
      <c r="J38" s="75">
        <f t="shared" ref="J38:M38" si="20">$F$38*$G$38</f>
        <v>0</v>
      </c>
      <c r="K38" s="61">
        <f t="shared" si="20"/>
        <v>0</v>
      </c>
      <c r="L38" s="75">
        <f t="shared" si="20"/>
        <v>0</v>
      </c>
      <c r="M38" s="44">
        <f t="shared" si="20"/>
        <v>0</v>
      </c>
    </row>
    <row r="39" spans="2:14" x14ac:dyDescent="0.25">
      <c r="B39" s="1" t="s">
        <v>49</v>
      </c>
      <c r="C39" s="120" t="s">
        <v>86</v>
      </c>
      <c r="D39" s="137"/>
      <c r="E39" s="1">
        <v>30</v>
      </c>
      <c r="F39" s="1">
        <v>1</v>
      </c>
      <c r="G39" s="61">
        <v>0</v>
      </c>
      <c r="H39" s="75">
        <f>$F$39*$G$39</f>
        <v>0</v>
      </c>
      <c r="I39" s="61">
        <f>$F$39*$G$39</f>
        <v>0</v>
      </c>
      <c r="J39" s="75">
        <f t="shared" ref="J39:M39" si="21">$F$39*$G$39</f>
        <v>0</v>
      </c>
      <c r="K39" s="61">
        <f t="shared" si="21"/>
        <v>0</v>
      </c>
      <c r="L39" s="75">
        <f t="shared" si="21"/>
        <v>0</v>
      </c>
      <c r="M39" s="44">
        <f t="shared" si="21"/>
        <v>0</v>
      </c>
    </row>
    <row r="40" spans="2:14" x14ac:dyDescent="0.25">
      <c r="B40" s="135"/>
      <c r="C40" s="87" t="s">
        <v>87</v>
      </c>
      <c r="D40" s="138"/>
      <c r="E40" s="88"/>
      <c r="F40" s="88"/>
      <c r="G40" s="62"/>
      <c r="H40" s="76">
        <f t="shared" ref="H40:M40" si="22">SUM(H35:H39)</f>
        <v>930.3</v>
      </c>
      <c r="I40" s="60">
        <f t="shared" si="22"/>
        <v>930.3</v>
      </c>
      <c r="J40" s="74">
        <f t="shared" si="22"/>
        <v>930.3</v>
      </c>
      <c r="K40" s="60">
        <f t="shared" si="22"/>
        <v>930.3</v>
      </c>
      <c r="L40" s="74">
        <f t="shared" si="22"/>
        <v>930.3</v>
      </c>
      <c r="M40" s="43">
        <f t="shared" si="22"/>
        <v>930.3</v>
      </c>
    </row>
    <row r="41" spans="2:14" x14ac:dyDescent="0.25">
      <c r="B41" s="1"/>
      <c r="C41" s="120"/>
      <c r="D41" s="123"/>
      <c r="E41" s="120"/>
      <c r="F41" s="120"/>
      <c r="G41" s="61"/>
      <c r="H41" s="75"/>
      <c r="I41" s="28"/>
      <c r="J41" s="35"/>
      <c r="K41" s="28"/>
      <c r="L41" s="35"/>
      <c r="M41" s="34"/>
    </row>
    <row r="42" spans="2:14" x14ac:dyDescent="0.25">
      <c r="B42" s="198" t="s">
        <v>88</v>
      </c>
      <c r="C42" s="198"/>
      <c r="D42" s="198"/>
      <c r="E42" s="198"/>
      <c r="F42" s="198"/>
      <c r="G42" s="198"/>
      <c r="H42" s="139">
        <f t="shared" ref="H42:M42" si="23">H21+H32+H40</f>
        <v>3576.7699999999995</v>
      </c>
      <c r="I42" s="54">
        <f t="shared" si="23"/>
        <v>4071</v>
      </c>
      <c r="J42" s="68">
        <f t="shared" si="23"/>
        <v>5318.8200000000006</v>
      </c>
      <c r="K42" s="54">
        <f t="shared" si="23"/>
        <v>6138.4300000000012</v>
      </c>
      <c r="L42" s="68">
        <f t="shared" si="23"/>
        <v>6193.81</v>
      </c>
      <c r="M42" s="36">
        <f t="shared" si="23"/>
        <v>7176.7499999999991</v>
      </c>
    </row>
    <row r="43" spans="2:14" x14ac:dyDescent="0.25">
      <c r="B43" s="21"/>
      <c r="C43" s="21"/>
      <c r="D43" s="21"/>
      <c r="E43" s="21"/>
      <c r="F43" s="21"/>
      <c r="G43" s="21"/>
      <c r="H43" s="130"/>
      <c r="I43" s="21"/>
      <c r="J43" s="130"/>
      <c r="K43" s="21"/>
      <c r="L43" s="130"/>
      <c r="M43" s="131"/>
      <c r="N43" s="21"/>
    </row>
    <row r="44" spans="2:14" ht="15" customHeight="1" x14ac:dyDescent="0.25">
      <c r="B44" s="166" t="s">
        <v>89</v>
      </c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67"/>
    </row>
    <row r="45" spans="2:14" x14ac:dyDescent="0.25">
      <c r="B45" s="2">
        <v>3</v>
      </c>
      <c r="C45" s="87" t="s">
        <v>90</v>
      </c>
      <c r="D45" s="140"/>
      <c r="E45" s="87"/>
      <c r="F45" s="87"/>
      <c r="G45" s="30" t="s">
        <v>91</v>
      </c>
      <c r="H45" s="42"/>
      <c r="I45" s="60" t="s">
        <v>92</v>
      </c>
      <c r="J45" s="74"/>
      <c r="K45" s="60" t="s">
        <v>92</v>
      </c>
      <c r="L45" s="74"/>
      <c r="M45" s="43" t="s">
        <v>92</v>
      </c>
    </row>
    <row r="46" spans="2:14" ht="15" customHeight="1" x14ac:dyDescent="0.25">
      <c r="B46" s="1" t="s">
        <v>41</v>
      </c>
      <c r="C46" s="120" t="s">
        <v>93</v>
      </c>
      <c r="D46" s="119"/>
      <c r="E46" s="118"/>
      <c r="F46" s="118"/>
      <c r="G46" s="31">
        <f>(1/12)*0.055</f>
        <v>4.5833333333333334E-3</v>
      </c>
      <c r="H46" s="75">
        <f t="shared" ref="H46:M46" si="24">(H13*$G$46)</f>
        <v>18.732266666666668</v>
      </c>
      <c r="I46" s="61">
        <f t="shared" si="24"/>
        <v>22.230517466666665</v>
      </c>
      <c r="J46" s="75">
        <f t="shared" si="24"/>
        <v>31.0630375</v>
      </c>
      <c r="K46" s="61">
        <f t="shared" si="24"/>
        <v>36.864059753125005</v>
      </c>
      <c r="L46" s="75">
        <f t="shared" si="24"/>
        <v>37.256083333333336</v>
      </c>
      <c r="M46" s="44">
        <f t="shared" si="24"/>
        <v>44.213656895833338</v>
      </c>
    </row>
    <row r="47" spans="2:14" x14ac:dyDescent="0.25">
      <c r="B47" s="1" t="s">
        <v>43</v>
      </c>
      <c r="C47" s="120" t="s">
        <v>94</v>
      </c>
      <c r="D47" s="119"/>
      <c r="E47" s="118"/>
      <c r="F47" s="118"/>
      <c r="G47" s="31">
        <f>ROUND((G46*G31),4)</f>
        <v>4.0000000000000002E-4</v>
      </c>
      <c r="H47" s="75">
        <f t="shared" ref="H47:M47" si="25">(H13*$G$47)</f>
        <v>1.634816</v>
      </c>
      <c r="I47" s="61">
        <f t="shared" si="25"/>
        <v>1.9401178880000001</v>
      </c>
      <c r="J47" s="75">
        <f t="shared" si="25"/>
        <v>2.7109560000000004</v>
      </c>
      <c r="K47" s="61">
        <f t="shared" si="25"/>
        <v>3.2172270330000003</v>
      </c>
      <c r="L47" s="75">
        <f t="shared" si="25"/>
        <v>3.2514400000000001</v>
      </c>
      <c r="M47" s="44">
        <f t="shared" si="25"/>
        <v>3.8586464200000004</v>
      </c>
    </row>
    <row r="48" spans="2:14" ht="30" x14ac:dyDescent="0.25">
      <c r="B48" s="1" t="s">
        <v>45</v>
      </c>
      <c r="C48" s="120" t="s">
        <v>95</v>
      </c>
      <c r="D48" s="119"/>
      <c r="E48" s="118"/>
      <c r="F48" s="118"/>
      <c r="G48" s="31">
        <f>4%</f>
        <v>0.04</v>
      </c>
      <c r="H48" s="75">
        <f t="shared" ref="H48:M48" si="26">(H13*$G$48)</f>
        <v>163.48160000000001</v>
      </c>
      <c r="I48" s="61">
        <f t="shared" si="26"/>
        <v>194.01178880000001</v>
      </c>
      <c r="J48" s="75">
        <f t="shared" si="26"/>
        <v>271.09559999999999</v>
      </c>
      <c r="K48" s="61">
        <f t="shared" si="26"/>
        <v>321.72270330000003</v>
      </c>
      <c r="L48" s="75">
        <f t="shared" si="26"/>
        <v>325.14400000000001</v>
      </c>
      <c r="M48" s="44">
        <f t="shared" si="26"/>
        <v>385.864642</v>
      </c>
    </row>
    <row r="49" spans="2:13" ht="15" customHeight="1" x14ac:dyDescent="0.25">
      <c r="B49" s="1" t="s">
        <v>47</v>
      </c>
      <c r="C49" s="120" t="s">
        <v>96</v>
      </c>
      <c r="D49" s="119"/>
      <c r="E49" s="118"/>
      <c r="F49" s="118"/>
      <c r="G49" s="31">
        <v>1.9400000000000001E-2</v>
      </c>
      <c r="H49" s="75">
        <f t="shared" ref="H49:M49" si="27">H13*$G$49</f>
        <v>79.288576000000006</v>
      </c>
      <c r="I49" s="61">
        <f t="shared" si="27"/>
        <v>94.095717567999998</v>
      </c>
      <c r="J49" s="75">
        <f t="shared" si="27"/>
        <v>131.48136600000001</v>
      </c>
      <c r="K49" s="61">
        <f t="shared" si="27"/>
        <v>156.03551110050003</v>
      </c>
      <c r="L49" s="75">
        <f t="shared" si="27"/>
        <v>157.69484</v>
      </c>
      <c r="M49" s="44">
        <f t="shared" si="27"/>
        <v>187.14435137000001</v>
      </c>
    </row>
    <row r="50" spans="2:13" ht="30" x14ac:dyDescent="0.25">
      <c r="B50" s="1" t="s">
        <v>49</v>
      </c>
      <c r="C50" s="120" t="s">
        <v>97</v>
      </c>
      <c r="D50" s="123"/>
      <c r="E50" s="120"/>
      <c r="F50" s="120"/>
      <c r="G50" s="31">
        <f>ROUND((G49*G32),4)</f>
        <v>7.1000000000000004E-3</v>
      </c>
      <c r="H50" s="75">
        <f t="shared" ref="H50:M50" si="28">H13*$G$50</f>
        <v>29.017984000000002</v>
      </c>
      <c r="I50" s="61">
        <f t="shared" si="28"/>
        <v>34.437092512</v>
      </c>
      <c r="J50" s="75">
        <f t="shared" si="28"/>
        <v>48.119469000000002</v>
      </c>
      <c r="K50" s="61">
        <f t="shared" si="28"/>
        <v>57.105779835750006</v>
      </c>
      <c r="L50" s="75">
        <f t="shared" si="28"/>
        <v>57.713060000000006</v>
      </c>
      <c r="M50" s="44">
        <f t="shared" si="28"/>
        <v>68.490973955000001</v>
      </c>
    </row>
    <row r="51" spans="2:13" ht="30" x14ac:dyDescent="0.25">
      <c r="B51" s="1" t="s">
        <v>51</v>
      </c>
      <c r="C51" s="120" t="s">
        <v>98</v>
      </c>
      <c r="D51" s="123"/>
      <c r="E51" s="120"/>
      <c r="F51" s="120"/>
      <c r="G51" s="31">
        <v>0</v>
      </c>
      <c r="H51" s="75"/>
      <c r="I51" s="31"/>
      <c r="J51" s="45"/>
      <c r="K51" s="31"/>
      <c r="L51" s="45"/>
      <c r="M51" s="46"/>
    </row>
    <row r="52" spans="2:13" x14ac:dyDescent="0.25">
      <c r="B52" s="198" t="s">
        <v>99</v>
      </c>
      <c r="C52" s="198"/>
      <c r="D52" s="198"/>
      <c r="E52" s="198"/>
      <c r="F52" s="198"/>
      <c r="G52" s="141">
        <f t="shared" ref="G52:M52" si="29">SUM(G46:G51)</f>
        <v>7.1483333333333329E-2</v>
      </c>
      <c r="H52" s="68">
        <f t="shared" ref="H52" si="30">SUM(H46:H51)</f>
        <v>292.15524266666671</v>
      </c>
      <c r="I52" s="54">
        <f t="shared" si="29"/>
        <v>346.71523423466664</v>
      </c>
      <c r="J52" s="68">
        <f t="shared" ref="J52" si="31">SUM(J46:J51)</f>
        <v>484.47042850000003</v>
      </c>
      <c r="K52" s="54">
        <f t="shared" si="29"/>
        <v>574.94528102237507</v>
      </c>
      <c r="L52" s="68">
        <f t="shared" ref="L52" si="32">SUM(L46:L51)</f>
        <v>581.05942333333337</v>
      </c>
      <c r="M52" s="36">
        <f t="shared" si="29"/>
        <v>689.57227064083327</v>
      </c>
    </row>
    <row r="53" spans="2:13" ht="15" customHeight="1" x14ac:dyDescent="0.25">
      <c r="B53" s="184" t="s">
        <v>100</v>
      </c>
      <c r="C53" s="185"/>
      <c r="D53" s="185"/>
      <c r="E53" s="185"/>
      <c r="F53" s="185"/>
      <c r="G53" s="185"/>
      <c r="H53" s="185"/>
      <c r="I53" s="185"/>
      <c r="J53" s="185"/>
      <c r="K53" s="185"/>
      <c r="L53" s="185"/>
      <c r="M53" s="185"/>
    </row>
    <row r="54" spans="2:13" x14ac:dyDescent="0.25">
      <c r="B54" s="186"/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</row>
    <row r="55" spans="2:13" x14ac:dyDescent="0.25">
      <c r="B55" s="186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</row>
    <row r="56" spans="2:13" x14ac:dyDescent="0.25">
      <c r="B56" s="188"/>
      <c r="C56" s="189"/>
      <c r="D56" s="189"/>
      <c r="E56" s="189"/>
      <c r="F56" s="189"/>
      <c r="G56" s="189"/>
      <c r="H56" s="189"/>
      <c r="I56" s="189"/>
      <c r="J56" s="189"/>
      <c r="K56" s="189"/>
      <c r="L56" s="189"/>
      <c r="M56" s="189"/>
    </row>
    <row r="57" spans="2:13" ht="15" customHeight="1" x14ac:dyDescent="0.25">
      <c r="B57" s="190" t="s">
        <v>101</v>
      </c>
      <c r="C57" s="191"/>
      <c r="D57" s="191"/>
      <c r="E57" s="191"/>
      <c r="F57" s="191"/>
      <c r="G57" s="191"/>
      <c r="H57" s="191"/>
      <c r="I57" s="191"/>
      <c r="J57" s="191"/>
      <c r="K57" s="191"/>
      <c r="L57" s="191"/>
      <c r="M57" s="191"/>
    </row>
    <row r="58" spans="2:13" ht="15" customHeight="1" x14ac:dyDescent="0.25">
      <c r="B58" s="2" t="s">
        <v>102</v>
      </c>
      <c r="C58" s="87" t="s">
        <v>103</v>
      </c>
      <c r="D58" s="140"/>
      <c r="E58" s="87"/>
      <c r="F58" s="87"/>
      <c r="G58" s="142" t="s">
        <v>61</v>
      </c>
      <c r="H58" s="143"/>
      <c r="I58" s="60"/>
      <c r="J58" s="74"/>
      <c r="K58" s="60"/>
      <c r="L58" s="74"/>
      <c r="M58" s="43"/>
    </row>
    <row r="59" spans="2:13" x14ac:dyDescent="0.25">
      <c r="B59" s="1" t="s">
        <v>41</v>
      </c>
      <c r="C59" s="120" t="s">
        <v>104</v>
      </c>
      <c r="D59" s="144"/>
      <c r="E59" s="120"/>
      <c r="F59" s="120"/>
      <c r="G59" s="145">
        <v>0</v>
      </c>
      <c r="H59" s="146">
        <f t="shared" ref="H59:M59" si="33">$G$59*H13</f>
        <v>0</v>
      </c>
      <c r="I59" s="28">
        <f t="shared" si="33"/>
        <v>0</v>
      </c>
      <c r="J59" s="35">
        <f t="shared" si="33"/>
        <v>0</v>
      </c>
      <c r="K59" s="28">
        <f t="shared" si="33"/>
        <v>0</v>
      </c>
      <c r="L59" s="35">
        <f t="shared" si="33"/>
        <v>0</v>
      </c>
      <c r="M59" s="34">
        <f t="shared" si="33"/>
        <v>0</v>
      </c>
    </row>
    <row r="60" spans="2:13" x14ac:dyDescent="0.25">
      <c r="B60" s="1" t="s">
        <v>43</v>
      </c>
      <c r="C60" s="133" t="s">
        <v>103</v>
      </c>
      <c r="D60" s="123"/>
      <c r="E60" s="120"/>
      <c r="F60" s="120"/>
      <c r="G60" s="147">
        <v>2.8E-3</v>
      </c>
      <c r="H60" s="148">
        <f t="shared" ref="H60:M60" si="34">$G$60*H13</f>
        <v>11.443712</v>
      </c>
      <c r="I60" s="28">
        <f t="shared" si="34"/>
        <v>13.580825215999999</v>
      </c>
      <c r="J60" s="35">
        <f t="shared" si="34"/>
        <v>18.976692</v>
      </c>
      <c r="K60" s="28">
        <f t="shared" si="34"/>
        <v>22.520589231000002</v>
      </c>
      <c r="L60" s="35">
        <f t="shared" si="34"/>
        <v>22.760080000000002</v>
      </c>
      <c r="M60" s="34">
        <f t="shared" si="34"/>
        <v>27.01052494</v>
      </c>
    </row>
    <row r="61" spans="2:13" x14ac:dyDescent="0.25">
      <c r="B61" s="1" t="s">
        <v>45</v>
      </c>
      <c r="C61" s="133" t="s">
        <v>105</v>
      </c>
      <c r="D61" s="123"/>
      <c r="E61" s="120"/>
      <c r="F61" s="120"/>
      <c r="G61" s="147">
        <v>3.0999999999999999E-3</v>
      </c>
      <c r="H61" s="148">
        <f t="shared" ref="H61:M61" si="35">$G$61*H13</f>
        <v>12.669824</v>
      </c>
      <c r="I61" s="28">
        <f t="shared" si="35"/>
        <v>15.035913632</v>
      </c>
      <c r="J61" s="35">
        <f t="shared" si="35"/>
        <v>21.009909</v>
      </c>
      <c r="K61" s="28">
        <f t="shared" si="35"/>
        <v>24.933509505750003</v>
      </c>
      <c r="L61" s="35">
        <f t="shared" si="35"/>
        <v>25.19866</v>
      </c>
      <c r="M61" s="34">
        <f t="shared" si="35"/>
        <v>29.904509754999999</v>
      </c>
    </row>
    <row r="62" spans="2:13" x14ac:dyDescent="0.25">
      <c r="B62" s="1" t="s">
        <v>47</v>
      </c>
      <c r="C62" s="133" t="s">
        <v>106</v>
      </c>
      <c r="D62" s="123"/>
      <c r="E62" s="120"/>
      <c r="F62" s="120"/>
      <c r="G62" s="147">
        <v>6.9999999999999999E-4</v>
      </c>
      <c r="H62" s="148">
        <f t="shared" ref="H62:M62" si="36">$G$62*H13</f>
        <v>2.8609279999999999</v>
      </c>
      <c r="I62" s="28">
        <f t="shared" si="36"/>
        <v>3.3952063039999998</v>
      </c>
      <c r="J62" s="35">
        <f t="shared" si="36"/>
        <v>4.744173</v>
      </c>
      <c r="K62" s="28">
        <f t="shared" si="36"/>
        <v>5.6301473077500006</v>
      </c>
      <c r="L62" s="35">
        <f t="shared" si="36"/>
        <v>5.6900200000000005</v>
      </c>
      <c r="M62" s="34">
        <f t="shared" si="36"/>
        <v>6.752631235</v>
      </c>
    </row>
    <row r="63" spans="2:13" x14ac:dyDescent="0.25">
      <c r="B63" s="1" t="s">
        <v>49</v>
      </c>
      <c r="C63" s="133" t="s">
        <v>107</v>
      </c>
      <c r="D63" s="123"/>
      <c r="E63" s="120"/>
      <c r="F63" s="120"/>
      <c r="G63" s="147">
        <v>1.3899999999999999E-2</v>
      </c>
      <c r="H63" s="148">
        <f t="shared" ref="H63:M63" si="37">$G$63*H13</f>
        <v>56.809855999999996</v>
      </c>
      <c r="I63" s="28">
        <f t="shared" si="37"/>
        <v>67.41909660799999</v>
      </c>
      <c r="J63" s="35">
        <f t="shared" si="37"/>
        <v>94.205720999999997</v>
      </c>
      <c r="K63" s="28">
        <f t="shared" si="37"/>
        <v>111.79863939675</v>
      </c>
      <c r="L63" s="35">
        <f t="shared" si="37"/>
        <v>112.98754</v>
      </c>
      <c r="M63" s="34">
        <f t="shared" si="37"/>
        <v>134.08796309499999</v>
      </c>
    </row>
    <row r="64" spans="2:13" x14ac:dyDescent="0.25">
      <c r="B64" s="1" t="s">
        <v>51</v>
      </c>
      <c r="C64" s="120" t="s">
        <v>108</v>
      </c>
      <c r="D64" s="123"/>
      <c r="E64" s="120"/>
      <c r="F64" s="120"/>
      <c r="G64" s="147">
        <v>0</v>
      </c>
      <c r="H64" s="148">
        <f t="shared" ref="H64:M64" si="38">$G$64*H13</f>
        <v>0</v>
      </c>
      <c r="I64" s="28">
        <f t="shared" si="38"/>
        <v>0</v>
      </c>
      <c r="J64" s="35">
        <f t="shared" si="38"/>
        <v>0</v>
      </c>
      <c r="K64" s="28">
        <f t="shared" si="38"/>
        <v>0</v>
      </c>
      <c r="L64" s="35">
        <f t="shared" si="38"/>
        <v>0</v>
      </c>
      <c r="M64" s="34">
        <f t="shared" si="38"/>
        <v>0</v>
      </c>
    </row>
    <row r="65" spans="2:13" x14ac:dyDescent="0.25">
      <c r="B65" s="1"/>
      <c r="C65" s="118" t="s">
        <v>40</v>
      </c>
      <c r="D65" s="123"/>
      <c r="E65" s="120"/>
      <c r="F65" s="120"/>
      <c r="G65" s="149">
        <f t="shared" ref="G65:M65" si="39">SUM(G59:G64)</f>
        <v>2.0499999999999997E-2</v>
      </c>
      <c r="H65" s="150">
        <f t="shared" ref="H65" si="40">SUM(H59:H64)</f>
        <v>83.784319999999994</v>
      </c>
      <c r="I65" s="52">
        <f t="shared" si="39"/>
        <v>99.431041759999985</v>
      </c>
      <c r="J65" s="67">
        <f t="shared" ref="J65" si="41">SUM(J59:J64)</f>
        <v>138.93649499999998</v>
      </c>
      <c r="K65" s="52">
        <f t="shared" si="39"/>
        <v>164.88288544125001</v>
      </c>
      <c r="L65" s="67">
        <f t="shared" ref="L65" si="42">SUM(L59:L64)</f>
        <v>166.63630000000001</v>
      </c>
      <c r="M65" s="32">
        <f t="shared" si="39"/>
        <v>197.75562902499999</v>
      </c>
    </row>
    <row r="66" spans="2:13" x14ac:dyDescent="0.25">
      <c r="B66" s="199" t="s">
        <v>109</v>
      </c>
      <c r="C66" s="199"/>
      <c r="D66" s="199"/>
      <c r="E66" s="199"/>
      <c r="F66" s="199"/>
      <c r="G66" s="142">
        <f>SUM(G65:G65)</f>
        <v>2.0499999999999997E-2</v>
      </c>
      <c r="H66" s="151">
        <f t="shared" ref="H66" si="43">SUM(H65:H65)</f>
        <v>83.784319999999994</v>
      </c>
      <c r="I66" s="60">
        <f t="shared" ref="I66:M66" si="44">SUM(I65:I65)</f>
        <v>99.431041759999985</v>
      </c>
      <c r="J66" s="74">
        <f t="shared" ref="J66" si="45">SUM(J65:J65)</f>
        <v>138.93649499999998</v>
      </c>
      <c r="K66" s="60">
        <f t="shared" si="44"/>
        <v>164.88288544125001</v>
      </c>
      <c r="L66" s="74">
        <f t="shared" ref="L66" si="46">SUM(L65:L65)</f>
        <v>166.63630000000001</v>
      </c>
      <c r="M66" s="43">
        <f t="shared" si="44"/>
        <v>197.75562902499999</v>
      </c>
    </row>
    <row r="67" spans="2:13" x14ac:dyDescent="0.25">
      <c r="B67" s="2" t="s">
        <v>110</v>
      </c>
      <c r="C67" s="87" t="s">
        <v>111</v>
      </c>
      <c r="D67" s="138"/>
      <c r="E67" s="88"/>
      <c r="F67" s="88"/>
      <c r="G67" s="152"/>
      <c r="H67" s="153"/>
      <c r="I67" s="62"/>
      <c r="J67" s="76"/>
      <c r="K67" s="62"/>
      <c r="L67" s="76"/>
      <c r="M67" s="47"/>
    </row>
    <row r="68" spans="2:13" x14ac:dyDescent="0.25">
      <c r="B68" s="1" t="s">
        <v>41</v>
      </c>
      <c r="C68" s="120" t="s">
        <v>112</v>
      </c>
      <c r="D68" s="123"/>
      <c r="E68" s="120"/>
      <c r="F68" s="120"/>
      <c r="G68" s="147">
        <v>0</v>
      </c>
      <c r="H68" s="154">
        <f>D68*H13</f>
        <v>0</v>
      </c>
      <c r="I68" s="28">
        <f>E68*I13</f>
        <v>0</v>
      </c>
      <c r="J68" s="35">
        <f>E68*J13</f>
        <v>0</v>
      </c>
      <c r="K68" s="28">
        <f>F68*K13</f>
        <v>0</v>
      </c>
      <c r="L68" s="35">
        <f>F68*L13</f>
        <v>0</v>
      </c>
      <c r="M68" s="34">
        <f>G68*M13</f>
        <v>0</v>
      </c>
    </row>
    <row r="69" spans="2:13" x14ac:dyDescent="0.25">
      <c r="B69" s="132"/>
      <c r="C69" s="118" t="s">
        <v>40</v>
      </c>
      <c r="D69" s="120"/>
      <c r="E69" s="120"/>
      <c r="F69" s="120"/>
      <c r="G69" s="155">
        <f>ROUND((SUM(G68:G68)),4)</f>
        <v>0</v>
      </c>
      <c r="H69" s="156">
        <f>D69*$M$13</f>
        <v>0</v>
      </c>
      <c r="I69" s="28">
        <f>E69*$M$13</f>
        <v>0</v>
      </c>
      <c r="J69" s="35">
        <f>E69*$M$13</f>
        <v>0</v>
      </c>
      <c r="K69" s="28">
        <f>F69*$M$13</f>
        <v>0</v>
      </c>
      <c r="L69" s="35">
        <f>F69*$M$13</f>
        <v>0</v>
      </c>
      <c r="M69" s="34">
        <f>G69*$M$13</f>
        <v>0</v>
      </c>
    </row>
    <row r="70" spans="2:13" ht="15" customHeight="1" x14ac:dyDescent="0.25">
      <c r="B70" s="199" t="s">
        <v>113</v>
      </c>
      <c r="C70" s="199"/>
      <c r="D70" s="199"/>
      <c r="E70" s="199"/>
      <c r="F70" s="199"/>
      <c r="G70" s="30">
        <f t="shared" ref="G70:M70" si="47">SUM(G68:G69)</f>
        <v>0</v>
      </c>
      <c r="H70" s="42">
        <f t="shared" ref="H70" si="48">SUM(H68:H69)</f>
        <v>0</v>
      </c>
      <c r="I70" s="60">
        <f t="shared" si="47"/>
        <v>0</v>
      </c>
      <c r="J70" s="74">
        <f t="shared" ref="J70" si="49">SUM(J68:J69)</f>
        <v>0</v>
      </c>
      <c r="K70" s="60">
        <f t="shared" si="47"/>
        <v>0</v>
      </c>
      <c r="L70" s="74">
        <f t="shared" ref="L70" si="50">SUM(L68:L69)</f>
        <v>0</v>
      </c>
      <c r="M70" s="43">
        <f t="shared" si="47"/>
        <v>0</v>
      </c>
    </row>
    <row r="71" spans="2:13" ht="15" customHeight="1" x14ac:dyDescent="0.25">
      <c r="B71" s="117"/>
      <c r="C71" s="117"/>
      <c r="D71" s="118"/>
      <c r="E71" s="118"/>
      <c r="F71" s="118"/>
      <c r="G71" s="129"/>
      <c r="H71" s="157"/>
      <c r="I71" s="52"/>
      <c r="J71" s="67"/>
      <c r="K71" s="52"/>
      <c r="L71" s="67"/>
      <c r="M71" s="32"/>
    </row>
    <row r="72" spans="2:13" s="90" customFormat="1" ht="30" x14ac:dyDescent="0.25">
      <c r="B72" s="181" t="s">
        <v>114</v>
      </c>
      <c r="C72" s="182"/>
      <c r="D72" s="182"/>
      <c r="E72" s="182"/>
      <c r="F72" s="183"/>
      <c r="G72" s="30" t="s">
        <v>115</v>
      </c>
      <c r="H72" s="42" t="s">
        <v>92</v>
      </c>
      <c r="I72" s="60" t="s">
        <v>92</v>
      </c>
      <c r="J72" s="42" t="s">
        <v>92</v>
      </c>
      <c r="K72" s="60" t="s">
        <v>92</v>
      </c>
      <c r="L72" s="42" t="s">
        <v>92</v>
      </c>
      <c r="M72" s="43" t="s">
        <v>92</v>
      </c>
    </row>
    <row r="73" spans="2:13" x14ac:dyDescent="0.25">
      <c r="B73" s="1" t="s">
        <v>102</v>
      </c>
      <c r="C73" s="120" t="s">
        <v>103</v>
      </c>
      <c r="D73" s="123"/>
      <c r="E73" s="120"/>
      <c r="F73" s="120"/>
      <c r="G73" s="29"/>
      <c r="H73" s="35">
        <f>H66</f>
        <v>83.784319999999994</v>
      </c>
      <c r="I73" s="28">
        <f>I66</f>
        <v>99.431041759999985</v>
      </c>
      <c r="J73" s="35">
        <f t="shared" ref="J73" si="51">J66</f>
        <v>138.93649499999998</v>
      </c>
      <c r="K73" s="28">
        <f t="shared" ref="K73:M73" si="52">K66</f>
        <v>164.88288544125001</v>
      </c>
      <c r="L73" s="35">
        <f t="shared" ref="L73" si="53">L66</f>
        <v>166.63630000000001</v>
      </c>
      <c r="M73" s="34">
        <f t="shared" si="52"/>
        <v>197.75562902499999</v>
      </c>
    </row>
    <row r="74" spans="2:13" x14ac:dyDescent="0.25">
      <c r="B74" s="1" t="s">
        <v>110</v>
      </c>
      <c r="C74" s="120" t="s">
        <v>111</v>
      </c>
      <c r="D74" s="123"/>
      <c r="E74" s="120"/>
      <c r="F74" s="120"/>
      <c r="G74" s="29"/>
      <c r="H74" s="35">
        <f t="shared" ref="H74:M74" si="54">H70</f>
        <v>0</v>
      </c>
      <c r="I74" s="28">
        <f t="shared" si="54"/>
        <v>0</v>
      </c>
      <c r="J74" s="35">
        <f t="shared" si="54"/>
        <v>0</v>
      </c>
      <c r="K74" s="28">
        <f t="shared" si="54"/>
        <v>0</v>
      </c>
      <c r="L74" s="35">
        <f t="shared" si="54"/>
        <v>0</v>
      </c>
      <c r="M74" s="34">
        <f t="shared" si="54"/>
        <v>0</v>
      </c>
    </row>
    <row r="75" spans="2:13" x14ac:dyDescent="0.25">
      <c r="B75" s="198" t="s">
        <v>116</v>
      </c>
      <c r="C75" s="198"/>
      <c r="D75" s="198"/>
      <c r="E75" s="198"/>
      <c r="F75" s="198"/>
      <c r="G75" s="141"/>
      <c r="H75" s="68">
        <f t="shared" ref="H75:M75" si="55">SUM(H73:H74)</f>
        <v>83.784319999999994</v>
      </c>
      <c r="I75" s="54">
        <f t="shared" si="55"/>
        <v>99.431041759999985</v>
      </c>
      <c r="J75" s="68">
        <f t="shared" si="55"/>
        <v>138.93649499999998</v>
      </c>
      <c r="K75" s="54">
        <f t="shared" si="55"/>
        <v>164.88288544125001</v>
      </c>
      <c r="L75" s="68">
        <f t="shared" si="55"/>
        <v>166.63630000000001</v>
      </c>
      <c r="M75" s="36">
        <f t="shared" si="55"/>
        <v>197.75562902499999</v>
      </c>
    </row>
    <row r="76" spans="2:13" x14ac:dyDescent="0.25">
      <c r="B76" s="1"/>
      <c r="C76" s="120"/>
      <c r="D76" s="123"/>
      <c r="E76" s="120"/>
      <c r="F76" s="120"/>
      <c r="G76" s="29"/>
      <c r="H76" s="126"/>
      <c r="I76" s="28"/>
      <c r="J76" s="35"/>
      <c r="K76" s="28"/>
      <c r="L76" s="35"/>
      <c r="M76" s="34"/>
    </row>
    <row r="77" spans="2:13" ht="15" customHeight="1" x14ac:dyDescent="0.25">
      <c r="B77" s="190" t="s">
        <v>117</v>
      </c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</row>
    <row r="78" spans="2:13" ht="18" customHeight="1" x14ac:dyDescent="0.25">
      <c r="B78" s="2">
        <v>5</v>
      </c>
      <c r="C78" s="87" t="s">
        <v>118</v>
      </c>
      <c r="D78" s="138"/>
      <c r="E78" s="2" t="s">
        <v>39</v>
      </c>
      <c r="F78" s="2" t="s">
        <v>119</v>
      </c>
      <c r="G78" s="15" t="s">
        <v>120</v>
      </c>
      <c r="H78" s="74"/>
      <c r="I78" s="62"/>
      <c r="J78" s="76"/>
      <c r="K78" s="62"/>
      <c r="L78" s="76"/>
      <c r="M78" s="47"/>
    </row>
    <row r="79" spans="2:13" x14ac:dyDescent="0.25">
      <c r="B79" s="1" t="s">
        <v>41</v>
      </c>
      <c r="C79" s="120" t="s">
        <v>121</v>
      </c>
      <c r="D79" s="123"/>
      <c r="E79" s="1">
        <v>1</v>
      </c>
      <c r="F79" s="1" t="s">
        <v>122</v>
      </c>
      <c r="G79" s="158">
        <v>4.9550000000000001</v>
      </c>
      <c r="H79" s="35">
        <f>$G$79</f>
        <v>4.9550000000000001</v>
      </c>
      <c r="I79" s="61">
        <f>$G$79</f>
        <v>4.9550000000000001</v>
      </c>
      <c r="J79" s="75">
        <f>$G$79</f>
        <v>4.9550000000000001</v>
      </c>
      <c r="K79" s="61">
        <f>G79</f>
        <v>4.9550000000000001</v>
      </c>
      <c r="L79" s="75">
        <f>$G$79</f>
        <v>4.9550000000000001</v>
      </c>
      <c r="M79" s="44">
        <f>G79</f>
        <v>4.9550000000000001</v>
      </c>
    </row>
    <row r="80" spans="2:13" x14ac:dyDescent="0.25">
      <c r="B80" s="1" t="s">
        <v>43</v>
      </c>
      <c r="C80" s="120" t="s">
        <v>123</v>
      </c>
      <c r="D80" s="123"/>
      <c r="E80" s="120"/>
      <c r="F80" s="120"/>
      <c r="G80" s="29"/>
      <c r="H80" s="35">
        <v>0</v>
      </c>
      <c r="I80" s="61">
        <v>0</v>
      </c>
      <c r="J80" s="75">
        <v>0</v>
      </c>
      <c r="K80" s="61">
        <v>0</v>
      </c>
      <c r="L80" s="75">
        <v>0</v>
      </c>
      <c r="M80" s="44">
        <v>0</v>
      </c>
    </row>
    <row r="81" spans="2:16" x14ac:dyDescent="0.25">
      <c r="B81" s="1" t="s">
        <v>45</v>
      </c>
      <c r="C81" s="120" t="s">
        <v>124</v>
      </c>
      <c r="D81" s="123"/>
      <c r="E81" s="120"/>
      <c r="F81" s="120"/>
      <c r="G81" s="29"/>
      <c r="H81" s="35">
        <v>0</v>
      </c>
      <c r="I81" s="61">
        <v>0</v>
      </c>
      <c r="J81" s="75">
        <v>0</v>
      </c>
      <c r="K81" s="61">
        <v>0</v>
      </c>
      <c r="L81" s="75">
        <v>0</v>
      </c>
      <c r="M81" s="44">
        <v>0</v>
      </c>
    </row>
    <row r="82" spans="2:16" x14ac:dyDescent="0.25">
      <c r="B82" s="198" t="s">
        <v>125</v>
      </c>
      <c r="C82" s="198"/>
      <c r="D82" s="198"/>
      <c r="E82" s="198"/>
      <c r="F82" s="198"/>
      <c r="G82" s="141"/>
      <c r="H82" s="68">
        <f t="shared" ref="H82:M82" si="56">SUM(H79:H81)</f>
        <v>4.9550000000000001</v>
      </c>
      <c r="I82" s="54">
        <f t="shared" si="56"/>
        <v>4.9550000000000001</v>
      </c>
      <c r="J82" s="68">
        <f t="shared" si="56"/>
        <v>4.9550000000000001</v>
      </c>
      <c r="K82" s="54">
        <f t="shared" si="56"/>
        <v>4.9550000000000001</v>
      </c>
      <c r="L82" s="68">
        <f t="shared" si="56"/>
        <v>4.9550000000000001</v>
      </c>
      <c r="M82" s="36">
        <f t="shared" si="56"/>
        <v>4.9550000000000001</v>
      </c>
    </row>
    <row r="83" spans="2:16" x14ac:dyDescent="0.25">
      <c r="B83" s="21"/>
      <c r="C83" s="21"/>
      <c r="D83" s="21"/>
      <c r="E83" s="21"/>
      <c r="F83" s="21"/>
      <c r="G83" s="21"/>
      <c r="H83" s="130"/>
      <c r="I83" s="21"/>
      <c r="J83" s="130"/>
      <c r="K83" s="21"/>
      <c r="L83" s="130"/>
      <c r="M83" s="131"/>
      <c r="N83" s="21"/>
      <c r="O83" s="21"/>
      <c r="P83" s="21"/>
    </row>
    <row r="84" spans="2:16" ht="15" customHeight="1" x14ac:dyDescent="0.25">
      <c r="B84" s="190" t="s">
        <v>126</v>
      </c>
      <c r="C84" s="191"/>
      <c r="D84" s="191"/>
      <c r="E84" s="191"/>
      <c r="F84" s="191"/>
      <c r="G84" s="191"/>
      <c r="H84" s="191"/>
      <c r="I84" s="191"/>
      <c r="J84" s="191"/>
      <c r="K84" s="191"/>
      <c r="L84" s="191"/>
      <c r="M84" s="191"/>
    </row>
    <row r="85" spans="2:16" x14ac:dyDescent="0.25">
      <c r="B85" s="2">
        <v>6</v>
      </c>
      <c r="C85" s="87" t="s">
        <v>127</v>
      </c>
      <c r="D85" s="138"/>
      <c r="E85" s="88"/>
      <c r="F85" s="88"/>
      <c r="G85" s="152" t="s">
        <v>22</v>
      </c>
      <c r="H85" s="153"/>
      <c r="I85" s="62"/>
      <c r="J85" s="76"/>
      <c r="K85" s="62"/>
      <c r="L85" s="76"/>
      <c r="M85" s="47"/>
    </row>
    <row r="86" spans="2:16" ht="15" customHeight="1" x14ac:dyDescent="0.25">
      <c r="B86" s="1" t="s">
        <v>41</v>
      </c>
      <c r="C86" s="133" t="s">
        <v>128</v>
      </c>
      <c r="D86" s="123"/>
      <c r="E86" s="120"/>
      <c r="F86" s="120"/>
      <c r="G86" s="29">
        <v>0.03</v>
      </c>
      <c r="H86" s="35">
        <f t="shared" ref="H86:M86" si="57">H107*$G$86</f>
        <v>241.34113687999997</v>
      </c>
      <c r="I86" s="28">
        <f t="shared" si="57"/>
        <v>281.17187987984005</v>
      </c>
      <c r="J86" s="35">
        <f t="shared" si="57"/>
        <v>381.73715770500002</v>
      </c>
      <c r="K86" s="28">
        <f t="shared" si="57"/>
        <v>447.78842246890878</v>
      </c>
      <c r="L86" s="35">
        <f t="shared" si="57"/>
        <v>452.25182169999999</v>
      </c>
      <c r="M86" s="34">
        <f t="shared" si="57"/>
        <v>531.46946848997504</v>
      </c>
    </row>
    <row r="87" spans="2:16" x14ac:dyDescent="0.25">
      <c r="B87" s="1" t="s">
        <v>43</v>
      </c>
      <c r="C87" s="133" t="s">
        <v>129</v>
      </c>
      <c r="D87" s="123"/>
      <c r="E87" s="120"/>
      <c r="F87" s="120"/>
      <c r="G87" s="29">
        <v>0.03</v>
      </c>
      <c r="H87" s="35">
        <f t="shared" ref="H87:M87" si="58">$G$87*(H107+H86)</f>
        <v>248.58137098639997</v>
      </c>
      <c r="I87" s="28">
        <f t="shared" si="58"/>
        <v>289.60703627623519</v>
      </c>
      <c r="J87" s="35">
        <f t="shared" si="58"/>
        <v>393.18927243615002</v>
      </c>
      <c r="K87" s="28">
        <f t="shared" si="58"/>
        <v>461.22207514297611</v>
      </c>
      <c r="L87" s="35">
        <f t="shared" si="58"/>
        <v>465.81937635100002</v>
      </c>
      <c r="M87" s="34">
        <f t="shared" si="58"/>
        <v>547.41355254467442</v>
      </c>
    </row>
    <row r="88" spans="2:16" x14ac:dyDescent="0.25">
      <c r="B88" s="1"/>
      <c r="C88" s="118" t="s">
        <v>130</v>
      </c>
      <c r="D88" s="123"/>
      <c r="E88" s="120"/>
      <c r="F88" s="120"/>
      <c r="G88" s="129">
        <f t="shared" ref="G88:M88" si="59">SUM(G86:G87)</f>
        <v>0.06</v>
      </c>
      <c r="H88" s="67">
        <f t="shared" ref="H88" si="60">SUM(H86:H87)</f>
        <v>489.92250786639994</v>
      </c>
      <c r="I88" s="52">
        <f t="shared" si="59"/>
        <v>570.77891615607518</v>
      </c>
      <c r="J88" s="67">
        <f t="shared" si="59"/>
        <v>774.92643014115004</v>
      </c>
      <c r="K88" s="52">
        <f t="shared" si="59"/>
        <v>909.01049761188483</v>
      </c>
      <c r="L88" s="67">
        <f t="shared" si="59"/>
        <v>918.07119805100001</v>
      </c>
      <c r="M88" s="32">
        <f t="shared" si="59"/>
        <v>1078.8830210346496</v>
      </c>
    </row>
    <row r="89" spans="2:16" x14ac:dyDescent="0.25">
      <c r="B89" s="1" t="s">
        <v>45</v>
      </c>
      <c r="C89" s="120" t="s">
        <v>131</v>
      </c>
      <c r="D89" s="123"/>
      <c r="E89" s="120"/>
      <c r="F89" s="120"/>
      <c r="G89" s="29"/>
      <c r="H89" s="35"/>
      <c r="I89" s="28"/>
      <c r="J89" s="35"/>
      <c r="K89" s="28"/>
      <c r="L89" s="35"/>
      <c r="M89" s="34"/>
    </row>
    <row r="90" spans="2:16" x14ac:dyDescent="0.25">
      <c r="B90" s="1" t="s">
        <v>132</v>
      </c>
      <c r="C90" s="120" t="s">
        <v>133</v>
      </c>
      <c r="D90" s="123"/>
      <c r="E90" s="120"/>
      <c r="F90" s="120"/>
      <c r="G90" s="29"/>
      <c r="H90" s="35"/>
      <c r="I90" s="28"/>
      <c r="J90" s="35"/>
      <c r="K90" s="28"/>
      <c r="L90" s="35"/>
      <c r="M90" s="34"/>
    </row>
    <row r="91" spans="2:16" ht="15" customHeight="1" x14ac:dyDescent="0.25">
      <c r="B91" s="1"/>
      <c r="C91" s="120" t="s">
        <v>134</v>
      </c>
      <c r="D91" s="123"/>
      <c r="E91" s="120"/>
      <c r="F91" s="120"/>
      <c r="G91" s="29">
        <v>7.5999999999999998E-2</v>
      </c>
      <c r="H91" s="35">
        <f t="shared" ref="H91:M91" si="61">((H88+H107)/(1-($G$91+$G$92+$G$94)))*($G$91)</f>
        <v>756.42175785482573</v>
      </c>
      <c r="I91" s="28">
        <f t="shared" si="61"/>
        <v>881.26098346758783</v>
      </c>
      <c r="J91" s="35">
        <f t="shared" si="61"/>
        <v>1196.4569969407901</v>
      </c>
      <c r="K91" s="28">
        <f t="shared" si="61"/>
        <v>1403.4777081512991</v>
      </c>
      <c r="L91" s="35">
        <f t="shared" si="61"/>
        <v>1417.4670857436847</v>
      </c>
      <c r="M91" s="34">
        <f t="shared" si="61"/>
        <v>1665.7544370533378</v>
      </c>
    </row>
    <row r="92" spans="2:16" x14ac:dyDescent="0.25">
      <c r="B92" s="1"/>
      <c r="C92" s="120" t="s">
        <v>135</v>
      </c>
      <c r="D92" s="123"/>
      <c r="E92" s="120"/>
      <c r="F92" s="120"/>
      <c r="G92" s="29">
        <v>1.6500000000000001E-2</v>
      </c>
      <c r="H92" s="35">
        <f t="shared" ref="H92:M92" si="62">((H88+H107)/(1-($G$91+$G$92+$G$94)))*($G$92)</f>
        <v>164.22314479742928</v>
      </c>
      <c r="I92" s="28">
        <f t="shared" si="62"/>
        <v>191.32639772651578</v>
      </c>
      <c r="J92" s="35">
        <f t="shared" si="62"/>
        <v>259.75711117793469</v>
      </c>
      <c r="K92" s="28">
        <f t="shared" si="62"/>
        <v>304.70239716442677</v>
      </c>
      <c r="L92" s="35">
        <f t="shared" si="62"/>
        <v>307.73956466803679</v>
      </c>
      <c r="M92" s="34">
        <f t="shared" si="62"/>
        <v>361.64405541289574</v>
      </c>
    </row>
    <row r="93" spans="2:16" x14ac:dyDescent="0.25">
      <c r="B93" s="1" t="s">
        <v>136</v>
      </c>
      <c r="C93" s="120" t="s">
        <v>137</v>
      </c>
      <c r="D93" s="123"/>
      <c r="E93" s="120"/>
      <c r="F93" s="120"/>
      <c r="G93" s="29"/>
      <c r="H93" s="35"/>
      <c r="I93" s="28"/>
      <c r="J93" s="35"/>
      <c r="K93" s="28"/>
      <c r="L93" s="35"/>
      <c r="M93" s="34"/>
    </row>
    <row r="94" spans="2:16" x14ac:dyDescent="0.25">
      <c r="B94" s="1"/>
      <c r="C94" s="120" t="s">
        <v>138</v>
      </c>
      <c r="D94" s="123"/>
      <c r="E94" s="120"/>
      <c r="F94" s="120"/>
      <c r="G94" s="29">
        <v>0.05</v>
      </c>
      <c r="H94" s="35">
        <f t="shared" ref="H94" si="63">((H88+H107)/(1-($G$91+$G$92+$G$94)))*($G$94)</f>
        <v>497.64589332554328</v>
      </c>
      <c r="I94" s="28">
        <f t="shared" ref="I94:L94" si="64">((I88+I107)/(1-($G$91+$G$92+$G$94)))*($G$94)</f>
        <v>579.77696280762359</v>
      </c>
      <c r="J94" s="35">
        <f t="shared" si="64"/>
        <v>787.14276114525671</v>
      </c>
      <c r="K94" s="28">
        <f t="shared" si="64"/>
        <v>923.34059746795992</v>
      </c>
      <c r="L94" s="35">
        <f t="shared" si="64"/>
        <v>932.54413535768731</v>
      </c>
      <c r="M94" s="34">
        <f>((M88+M107)/(1-($G$91+$G$92+$G$94)))*($G$94)</f>
        <v>1095.8910770087748</v>
      </c>
    </row>
    <row r="95" spans="2:16" x14ac:dyDescent="0.25">
      <c r="B95" s="1" t="s">
        <v>139</v>
      </c>
      <c r="C95" s="120" t="s">
        <v>140</v>
      </c>
      <c r="D95" s="123"/>
      <c r="E95" s="120"/>
      <c r="F95" s="120"/>
      <c r="G95" s="29"/>
      <c r="H95" s="35"/>
      <c r="I95" s="28"/>
      <c r="J95" s="35"/>
      <c r="K95" s="28"/>
      <c r="L95" s="35"/>
      <c r="M95" s="34"/>
    </row>
    <row r="96" spans="2:16" x14ac:dyDescent="0.25">
      <c r="B96" s="1" t="s">
        <v>141</v>
      </c>
      <c r="C96" s="120" t="s">
        <v>142</v>
      </c>
      <c r="D96" s="123"/>
      <c r="E96" s="120"/>
      <c r="F96" s="120"/>
      <c r="G96" s="29"/>
      <c r="H96" s="35"/>
      <c r="I96" s="28"/>
      <c r="J96" s="35"/>
      <c r="K96" s="28"/>
      <c r="L96" s="35"/>
      <c r="M96" s="34"/>
    </row>
    <row r="97" spans="2:13" x14ac:dyDescent="0.25">
      <c r="B97" s="1"/>
      <c r="C97" s="118" t="s">
        <v>143</v>
      </c>
      <c r="D97" s="123"/>
      <c r="E97" s="120"/>
      <c r="F97" s="120"/>
      <c r="G97" s="129">
        <f t="shared" ref="G97:M97" si="65">G91+G92+G94+G96</f>
        <v>0.14250000000000002</v>
      </c>
      <c r="H97" s="67">
        <f t="shared" ref="H97" si="66">H91+H92+H94+H96</f>
        <v>1418.2907959777983</v>
      </c>
      <c r="I97" s="52">
        <f t="shared" si="65"/>
        <v>1652.3643440017272</v>
      </c>
      <c r="J97" s="67">
        <f t="shared" si="65"/>
        <v>2243.3568692639815</v>
      </c>
      <c r="K97" s="52">
        <f t="shared" si="65"/>
        <v>2631.5207027836859</v>
      </c>
      <c r="L97" s="67">
        <f t="shared" si="65"/>
        <v>2657.750785769409</v>
      </c>
      <c r="M97" s="32">
        <f t="shared" si="65"/>
        <v>3123.2895694750086</v>
      </c>
    </row>
    <row r="98" spans="2:13" x14ac:dyDescent="0.25">
      <c r="B98" s="198" t="s">
        <v>144</v>
      </c>
      <c r="C98" s="198"/>
      <c r="D98" s="198"/>
      <c r="E98" s="198"/>
      <c r="F98" s="198"/>
      <c r="G98" s="54"/>
      <c r="H98" s="68">
        <f>H88+H97</f>
        <v>1908.2133038441982</v>
      </c>
      <c r="I98" s="63">
        <f>I88+I97</f>
        <v>2223.1432601578026</v>
      </c>
      <c r="J98" s="77">
        <f>J88+J97</f>
        <v>3018.2832994051314</v>
      </c>
      <c r="K98" s="63">
        <f t="shared" ref="K98" si="67">K88+K97</f>
        <v>3540.5312003955705</v>
      </c>
      <c r="L98" s="77">
        <f>L88+L97</f>
        <v>3575.8219838204091</v>
      </c>
      <c r="M98" s="48">
        <f>M88+M97</f>
        <v>4202.1725905096582</v>
      </c>
    </row>
    <row r="99" spans="2:13" x14ac:dyDescent="0.25">
      <c r="B99" s="132"/>
      <c r="C99" s="132"/>
      <c r="D99" s="133"/>
      <c r="E99" s="133"/>
      <c r="F99" s="133"/>
      <c r="G99" s="159"/>
      <c r="H99" s="160"/>
      <c r="I99" s="64"/>
      <c r="J99" s="78"/>
      <c r="K99" s="64"/>
      <c r="L99" s="78"/>
      <c r="M99" s="49"/>
    </row>
    <row r="100" spans="2:13" ht="30.75" customHeight="1" x14ac:dyDescent="0.25">
      <c r="B100" s="166" t="s">
        <v>145</v>
      </c>
      <c r="C100" s="167"/>
      <c r="D100" s="167"/>
      <c r="E100" s="167"/>
      <c r="F100" s="167"/>
      <c r="G100" s="167"/>
      <c r="H100" s="167"/>
      <c r="I100" s="167"/>
      <c r="J100" s="167"/>
      <c r="K100" s="167"/>
      <c r="L100" s="167"/>
      <c r="M100" s="167"/>
    </row>
    <row r="101" spans="2:13" x14ac:dyDescent="0.25">
      <c r="B101" s="2"/>
      <c r="C101" s="181" t="s">
        <v>146</v>
      </c>
      <c r="D101" s="182"/>
      <c r="E101" s="182"/>
      <c r="F101" s="182"/>
      <c r="G101" s="183"/>
      <c r="H101" s="74"/>
      <c r="I101" s="27" t="s">
        <v>147</v>
      </c>
      <c r="J101" s="79"/>
      <c r="K101" s="27" t="s">
        <v>148</v>
      </c>
      <c r="L101" s="79"/>
      <c r="M101" s="50" t="s">
        <v>34</v>
      </c>
    </row>
    <row r="102" spans="2:13" x14ac:dyDescent="0.25">
      <c r="B102" s="1" t="s">
        <v>41</v>
      </c>
      <c r="C102" s="175" t="s">
        <v>149</v>
      </c>
      <c r="D102" s="176"/>
      <c r="E102" s="176"/>
      <c r="F102" s="176"/>
      <c r="G102" s="177"/>
      <c r="H102" s="35">
        <f t="shared" ref="H102:M102" si="68">H13</f>
        <v>4087.04</v>
      </c>
      <c r="I102" s="28">
        <f t="shared" si="68"/>
        <v>4850.2947199999999</v>
      </c>
      <c r="J102" s="35">
        <f t="shared" si="68"/>
        <v>6777.39</v>
      </c>
      <c r="K102" s="28">
        <f t="shared" si="68"/>
        <v>8043.0675825000008</v>
      </c>
      <c r="L102" s="35">
        <f t="shared" si="68"/>
        <v>8128.6</v>
      </c>
      <c r="M102" s="34">
        <f t="shared" si="68"/>
        <v>9646.6160500000005</v>
      </c>
    </row>
    <row r="103" spans="2:13" x14ac:dyDescent="0.25">
      <c r="B103" s="1" t="s">
        <v>43</v>
      </c>
      <c r="C103" s="175" t="s">
        <v>150</v>
      </c>
      <c r="D103" s="176"/>
      <c r="E103" s="176"/>
      <c r="F103" s="176"/>
      <c r="G103" s="177"/>
      <c r="H103" s="35">
        <f t="shared" ref="H103:M103" si="69">H42</f>
        <v>3576.7699999999995</v>
      </c>
      <c r="I103" s="28">
        <f t="shared" si="69"/>
        <v>4071</v>
      </c>
      <c r="J103" s="35">
        <f t="shared" si="69"/>
        <v>5318.8200000000006</v>
      </c>
      <c r="K103" s="28">
        <f t="shared" si="69"/>
        <v>6138.4300000000012</v>
      </c>
      <c r="L103" s="35">
        <f t="shared" si="69"/>
        <v>6193.81</v>
      </c>
      <c r="M103" s="34">
        <f t="shared" si="69"/>
        <v>7176.7499999999991</v>
      </c>
    </row>
    <row r="104" spans="2:13" x14ac:dyDescent="0.25">
      <c r="B104" s="1" t="s">
        <v>45</v>
      </c>
      <c r="C104" s="175" t="s">
        <v>151</v>
      </c>
      <c r="D104" s="176"/>
      <c r="E104" s="176"/>
      <c r="F104" s="176"/>
      <c r="G104" s="177"/>
      <c r="H104" s="35">
        <f t="shared" ref="H104:M104" si="70">H52</f>
        <v>292.15524266666671</v>
      </c>
      <c r="I104" s="28">
        <f t="shared" si="70"/>
        <v>346.71523423466664</v>
      </c>
      <c r="J104" s="35">
        <f t="shared" si="70"/>
        <v>484.47042850000003</v>
      </c>
      <c r="K104" s="28">
        <f t="shared" si="70"/>
        <v>574.94528102237507</v>
      </c>
      <c r="L104" s="35">
        <f t="shared" si="70"/>
        <v>581.05942333333337</v>
      </c>
      <c r="M104" s="34">
        <f t="shared" si="70"/>
        <v>689.57227064083327</v>
      </c>
    </row>
    <row r="105" spans="2:13" x14ac:dyDescent="0.25">
      <c r="B105" s="1" t="s">
        <v>47</v>
      </c>
      <c r="C105" s="175" t="s">
        <v>152</v>
      </c>
      <c r="D105" s="176"/>
      <c r="E105" s="176"/>
      <c r="F105" s="176"/>
      <c r="G105" s="177"/>
      <c r="H105" s="35">
        <f>H75</f>
        <v>83.784319999999994</v>
      </c>
      <c r="I105" s="28">
        <f>I75</f>
        <v>99.431041759999985</v>
      </c>
      <c r="J105" s="35">
        <f t="shared" ref="J105" si="71">J75</f>
        <v>138.93649499999998</v>
      </c>
      <c r="K105" s="28">
        <f t="shared" ref="K105:M105" si="72">K75</f>
        <v>164.88288544125001</v>
      </c>
      <c r="L105" s="35">
        <f t="shared" ref="L105" si="73">L75</f>
        <v>166.63630000000001</v>
      </c>
      <c r="M105" s="34">
        <f t="shared" si="72"/>
        <v>197.75562902499999</v>
      </c>
    </row>
    <row r="106" spans="2:13" x14ac:dyDescent="0.25">
      <c r="B106" s="1" t="s">
        <v>49</v>
      </c>
      <c r="C106" s="175" t="s">
        <v>153</v>
      </c>
      <c r="D106" s="176"/>
      <c r="E106" s="176"/>
      <c r="F106" s="176"/>
      <c r="G106" s="177"/>
      <c r="H106" s="35">
        <f t="shared" ref="H106:M106" si="74">H82</f>
        <v>4.9550000000000001</v>
      </c>
      <c r="I106" s="28">
        <f t="shared" si="74"/>
        <v>4.9550000000000001</v>
      </c>
      <c r="J106" s="35">
        <f t="shared" si="74"/>
        <v>4.9550000000000001</v>
      </c>
      <c r="K106" s="28">
        <f t="shared" si="74"/>
        <v>4.9550000000000001</v>
      </c>
      <c r="L106" s="35">
        <f t="shared" si="74"/>
        <v>4.9550000000000001</v>
      </c>
      <c r="M106" s="34">
        <f t="shared" si="74"/>
        <v>4.9550000000000001</v>
      </c>
    </row>
    <row r="107" spans="2:13" x14ac:dyDescent="0.25">
      <c r="B107" s="1"/>
      <c r="C107" s="178" t="s">
        <v>40</v>
      </c>
      <c r="D107" s="179"/>
      <c r="E107" s="179"/>
      <c r="F107" s="179"/>
      <c r="G107" s="180"/>
      <c r="H107" s="67">
        <f t="shared" ref="H107:M107" si="75">SUM(H102:H106)</f>
        <v>8044.7045626666659</v>
      </c>
      <c r="I107" s="52">
        <f t="shared" si="75"/>
        <v>9372.3959959946678</v>
      </c>
      <c r="J107" s="67">
        <f t="shared" si="75"/>
        <v>12724.571923500002</v>
      </c>
      <c r="K107" s="52">
        <f t="shared" si="75"/>
        <v>14926.280748963627</v>
      </c>
      <c r="L107" s="67">
        <f t="shared" si="75"/>
        <v>15075.060723333334</v>
      </c>
      <c r="M107" s="32">
        <f t="shared" si="75"/>
        <v>17715.648949665836</v>
      </c>
    </row>
    <row r="108" spans="2:13" x14ac:dyDescent="0.25">
      <c r="B108" s="1" t="s">
        <v>51</v>
      </c>
      <c r="C108" s="175" t="s">
        <v>154</v>
      </c>
      <c r="D108" s="176"/>
      <c r="E108" s="176"/>
      <c r="F108" s="176"/>
      <c r="G108" s="177"/>
      <c r="H108" s="35">
        <f t="shared" ref="H108:M108" si="76">H98</f>
        <v>1908.2133038441982</v>
      </c>
      <c r="I108" s="28">
        <f t="shared" si="76"/>
        <v>2223.1432601578026</v>
      </c>
      <c r="J108" s="35">
        <f t="shared" si="76"/>
        <v>3018.2832994051314</v>
      </c>
      <c r="K108" s="28">
        <f t="shared" si="76"/>
        <v>3540.5312003955705</v>
      </c>
      <c r="L108" s="35">
        <f t="shared" si="76"/>
        <v>3575.8219838204091</v>
      </c>
      <c r="M108" s="34">
        <f t="shared" si="76"/>
        <v>4202.1725905096582</v>
      </c>
    </row>
    <row r="109" spans="2:13" x14ac:dyDescent="0.25">
      <c r="B109" s="195" t="s">
        <v>155</v>
      </c>
      <c r="C109" s="196"/>
      <c r="D109" s="196"/>
      <c r="E109" s="196"/>
      <c r="F109" s="196"/>
      <c r="G109" s="197"/>
      <c r="H109" s="68">
        <f t="shared" ref="H109:M109" si="77">ROUND((H107+H88)/(1-$G$97),2)</f>
        <v>9952.92</v>
      </c>
      <c r="I109" s="65">
        <f t="shared" si="77"/>
        <v>11595.54</v>
      </c>
      <c r="J109" s="80">
        <f t="shared" si="77"/>
        <v>15742.86</v>
      </c>
      <c r="K109" s="65">
        <f t="shared" si="77"/>
        <v>18466.810000000001</v>
      </c>
      <c r="L109" s="80">
        <f t="shared" si="77"/>
        <v>18650.88</v>
      </c>
      <c r="M109" s="51">
        <f t="shared" si="77"/>
        <v>21917.82</v>
      </c>
    </row>
    <row r="110" spans="2:13" x14ac:dyDescent="0.25">
      <c r="B110" s="194" t="s">
        <v>156</v>
      </c>
      <c r="C110" s="194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</row>
    <row r="111" spans="2:13" x14ac:dyDescent="0.25">
      <c r="B111" s="89"/>
      <c r="D111" s="89"/>
      <c r="G111" s="89"/>
      <c r="H111" s="89"/>
      <c r="I111" s="89"/>
      <c r="J111" s="89"/>
      <c r="K111" s="89"/>
      <c r="L111" s="89"/>
      <c r="M111" s="89"/>
    </row>
    <row r="112" spans="2:13" ht="15.75" thickBot="1" x14ac:dyDescent="0.3">
      <c r="B112" s="84"/>
      <c r="C112" s="84"/>
      <c r="D112" s="84"/>
      <c r="E112" s="84"/>
      <c r="F112" s="84"/>
      <c r="G112" s="84"/>
      <c r="H112" s="84"/>
      <c r="I112" s="85"/>
      <c r="J112" s="85"/>
      <c r="K112" s="85"/>
      <c r="L112" s="85"/>
      <c r="M112" s="85"/>
    </row>
    <row r="113" spans="1:13" ht="30.75" customHeight="1" thickBot="1" x14ac:dyDescent="0.3">
      <c r="A113" s="200" t="s">
        <v>157</v>
      </c>
      <c r="B113" s="201"/>
      <c r="C113" s="201"/>
      <c r="D113" s="201"/>
      <c r="E113" s="201"/>
      <c r="F113" s="201"/>
      <c r="G113" s="201"/>
      <c r="H113" s="201"/>
      <c r="I113" s="201"/>
      <c r="J113" s="201"/>
      <c r="K113" s="201"/>
      <c r="L113" s="202"/>
      <c r="M113" s="85"/>
    </row>
    <row r="114" spans="1:13" ht="32.25" x14ac:dyDescent="0.25">
      <c r="A114" s="97" t="s">
        <v>2</v>
      </c>
      <c r="B114" s="98" t="s">
        <v>3</v>
      </c>
      <c r="C114" s="98" t="s">
        <v>4</v>
      </c>
      <c r="D114" s="98" t="s">
        <v>5</v>
      </c>
      <c r="E114" s="98" t="s">
        <v>6</v>
      </c>
      <c r="F114" s="98" t="s">
        <v>7</v>
      </c>
      <c r="G114" s="98" t="s">
        <v>8</v>
      </c>
      <c r="H114" s="98" t="s">
        <v>9</v>
      </c>
      <c r="I114" s="98" t="s">
        <v>10</v>
      </c>
      <c r="J114" s="98" t="s">
        <v>11</v>
      </c>
      <c r="K114" s="98" t="s">
        <v>12</v>
      </c>
      <c r="L114" s="99" t="s">
        <v>13</v>
      </c>
      <c r="M114" s="111"/>
    </row>
    <row r="115" spans="1:13" x14ac:dyDescent="0.25">
      <c r="A115" s="203">
        <v>1</v>
      </c>
      <c r="B115" s="4">
        <v>1</v>
      </c>
      <c r="C115" s="3" t="s">
        <v>14</v>
      </c>
      <c r="D115" s="1" t="s">
        <v>15</v>
      </c>
      <c r="E115" s="1" t="s">
        <v>16</v>
      </c>
      <c r="F115" s="1">
        <v>9</v>
      </c>
      <c r="G115" s="110">
        <f>$H$5</f>
        <v>4087.04</v>
      </c>
      <c r="H115" s="110">
        <f>H109</f>
        <v>9952.92</v>
      </c>
      <c r="I115" s="16">
        <f>H115*F115</f>
        <v>89576.28</v>
      </c>
      <c r="J115" s="16">
        <f>I115*12</f>
        <v>1074915.3599999999</v>
      </c>
      <c r="K115" s="16">
        <f>H115*12*5</f>
        <v>597175.20000000007</v>
      </c>
      <c r="L115" s="91">
        <f>SUM(J115*5)</f>
        <v>5374576.7999999989</v>
      </c>
      <c r="M115" s="111"/>
    </row>
    <row r="116" spans="1:13" x14ac:dyDescent="0.25">
      <c r="A116" s="203"/>
      <c r="B116" s="4">
        <v>2</v>
      </c>
      <c r="C116" s="3" t="s">
        <v>17</v>
      </c>
      <c r="D116" s="1" t="s">
        <v>18</v>
      </c>
      <c r="E116" s="1" t="s">
        <v>16</v>
      </c>
      <c r="F116" s="1">
        <v>11</v>
      </c>
      <c r="G116" s="110">
        <f>$J$5</f>
        <v>6777.39</v>
      </c>
      <c r="H116" s="110">
        <f>J109</f>
        <v>15742.86</v>
      </c>
      <c r="I116" s="16">
        <f>H116*F116</f>
        <v>173171.46000000002</v>
      </c>
      <c r="J116" s="16">
        <f>I116*12</f>
        <v>2078057.5200000003</v>
      </c>
      <c r="K116" s="16">
        <f>H116*12*5</f>
        <v>944571.60000000009</v>
      </c>
      <c r="L116" s="91">
        <f t="shared" ref="L116:L118" si="78">SUM(J116*5)</f>
        <v>10390287.600000001</v>
      </c>
      <c r="M116" s="111"/>
    </row>
    <row r="117" spans="1:13" x14ac:dyDescent="0.25">
      <c r="A117" s="203"/>
      <c r="B117" s="4">
        <v>3</v>
      </c>
      <c r="C117" s="3" t="s">
        <v>19</v>
      </c>
      <c r="D117" s="1" t="s">
        <v>20</v>
      </c>
      <c r="E117" s="1" t="s">
        <v>16</v>
      </c>
      <c r="F117" s="1">
        <v>1</v>
      </c>
      <c r="G117" s="110">
        <f>$L$5</f>
        <v>8128.6</v>
      </c>
      <c r="H117" s="110">
        <f>L109</f>
        <v>18650.88</v>
      </c>
      <c r="I117" s="16">
        <f>H117*F117</f>
        <v>18650.88</v>
      </c>
      <c r="J117" s="16">
        <f t="shared" ref="J117:J118" si="79">I117*12</f>
        <v>223810.56</v>
      </c>
      <c r="K117" s="16">
        <f>H117*12*5</f>
        <v>1119052.8</v>
      </c>
      <c r="L117" s="91">
        <f t="shared" si="78"/>
        <v>1119052.8</v>
      </c>
      <c r="M117" s="81"/>
    </row>
    <row r="118" spans="1:13" ht="15.75" thickBot="1" x14ac:dyDescent="0.3">
      <c r="A118" s="204"/>
      <c r="B118" s="100">
        <v>4</v>
      </c>
      <c r="C118" s="101" t="s">
        <v>21</v>
      </c>
      <c r="D118" s="102"/>
      <c r="E118" s="102" t="s">
        <v>16</v>
      </c>
      <c r="F118" s="102">
        <v>21</v>
      </c>
      <c r="G118" s="103" t="s">
        <v>22</v>
      </c>
      <c r="H118" s="104">
        <v>2393.5100000000002</v>
      </c>
      <c r="I118" s="104">
        <f>F118*H118</f>
        <v>50263.710000000006</v>
      </c>
      <c r="J118" s="104">
        <f t="shared" si="79"/>
        <v>603164.52</v>
      </c>
      <c r="K118" s="104">
        <f>H118*12*5</f>
        <v>143610.6</v>
      </c>
      <c r="L118" s="105">
        <f t="shared" si="78"/>
        <v>3015822.6</v>
      </c>
      <c r="M118" s="81"/>
    </row>
    <row r="119" spans="1:13" s="21" customFormat="1" ht="15.75" thickBot="1" x14ac:dyDescent="0.3">
      <c r="A119" s="205" t="s">
        <v>23</v>
      </c>
      <c r="B119" s="206"/>
      <c r="C119" s="206"/>
      <c r="D119" s="206"/>
      <c r="E119" s="206"/>
      <c r="F119" s="93">
        <v>21</v>
      </c>
      <c r="G119" s="206" t="s">
        <v>24</v>
      </c>
      <c r="H119" s="206"/>
      <c r="I119" s="206"/>
      <c r="J119" s="94">
        <f>ROUND(SUM(J115:J118),2)</f>
        <v>3979947.96</v>
      </c>
      <c r="K119" s="95"/>
      <c r="L119" s="96"/>
    </row>
    <row r="120" spans="1:13" s="21" customFormat="1" ht="16.5" thickBot="1" x14ac:dyDescent="0.3">
      <c r="A120" s="207" t="s">
        <v>25</v>
      </c>
      <c r="B120" s="208"/>
      <c r="C120" s="208"/>
      <c r="D120" s="208"/>
      <c r="E120" s="208"/>
      <c r="F120" s="208"/>
      <c r="G120" s="208"/>
      <c r="H120" s="208"/>
      <c r="I120" s="208"/>
      <c r="J120" s="208"/>
      <c r="K120" s="92"/>
      <c r="L120" s="112">
        <f>SUM(L115:L118)</f>
        <v>19899739.800000001</v>
      </c>
    </row>
    <row r="121" spans="1:13" s="21" customFormat="1" x14ac:dyDescent="0.25">
      <c r="A121" s="26" t="s">
        <v>26</v>
      </c>
      <c r="B121" s="26"/>
      <c r="C121" s="26"/>
      <c r="D121" s="26"/>
      <c r="E121" s="26"/>
      <c r="F121" s="26"/>
      <c r="G121" s="26"/>
      <c r="H121" s="25" t="s">
        <v>27</v>
      </c>
      <c r="I121" s="26"/>
      <c r="J121" s="26"/>
    </row>
    <row r="122" spans="1:13" s="21" customFormat="1" x14ac:dyDescent="0.25">
      <c r="A122" s="25" t="s">
        <v>28</v>
      </c>
      <c r="B122" s="25"/>
      <c r="C122" s="25"/>
      <c r="D122" s="25"/>
      <c r="E122" s="25"/>
      <c r="F122" s="25"/>
      <c r="G122" s="25"/>
      <c r="H122" s="25" t="s">
        <v>29</v>
      </c>
      <c r="I122" s="25"/>
      <c r="J122" s="25"/>
    </row>
    <row r="123" spans="1:13" s="21" customFormat="1" x14ac:dyDescent="0.25">
      <c r="A123" s="25"/>
      <c r="B123" s="25"/>
      <c r="C123" s="25"/>
      <c r="D123" s="25"/>
      <c r="E123" s="25"/>
      <c r="F123" s="25"/>
      <c r="G123" s="25"/>
      <c r="H123" s="25"/>
      <c r="I123" s="25"/>
      <c r="J123" s="25"/>
    </row>
    <row r="124" spans="1:13" s="21" customFormat="1" ht="15.75" thickBot="1" x14ac:dyDescent="0.3"/>
    <row r="125" spans="1:13" s="21" customFormat="1" ht="30.75" customHeight="1" thickBot="1" x14ac:dyDescent="0.3">
      <c r="A125" s="200" t="s">
        <v>158</v>
      </c>
      <c r="B125" s="201"/>
      <c r="C125" s="201"/>
      <c r="D125" s="201"/>
      <c r="E125" s="201"/>
      <c r="F125" s="201"/>
      <c r="G125" s="201"/>
      <c r="H125" s="201"/>
      <c r="I125" s="201"/>
      <c r="J125" s="201"/>
      <c r="K125" s="201"/>
      <c r="L125" s="202"/>
    </row>
    <row r="126" spans="1:13" s="21" customFormat="1" ht="32.25" x14ac:dyDescent="0.25">
      <c r="A126" s="97" t="s">
        <v>2</v>
      </c>
      <c r="B126" s="98" t="s">
        <v>3</v>
      </c>
      <c r="C126" s="98" t="s">
        <v>4</v>
      </c>
      <c r="D126" s="98" t="s">
        <v>5</v>
      </c>
      <c r="E126" s="98" t="s">
        <v>6</v>
      </c>
      <c r="F126" s="98" t="s">
        <v>7</v>
      </c>
      <c r="G126" s="98" t="s">
        <v>8</v>
      </c>
      <c r="H126" s="98" t="s">
        <v>9</v>
      </c>
      <c r="I126" s="98" t="s">
        <v>10</v>
      </c>
      <c r="J126" s="98" t="s">
        <v>11</v>
      </c>
      <c r="K126" s="98" t="s">
        <v>12</v>
      </c>
      <c r="L126" s="99" t="s">
        <v>13</v>
      </c>
    </row>
    <row r="127" spans="1:13" s="21" customFormat="1" x14ac:dyDescent="0.25">
      <c r="A127" s="203">
        <v>1</v>
      </c>
      <c r="B127" s="4">
        <v>1</v>
      </c>
      <c r="C127" s="3" t="s">
        <v>14</v>
      </c>
      <c r="D127" s="1" t="s">
        <v>15</v>
      </c>
      <c r="E127" s="1" t="s">
        <v>16</v>
      </c>
      <c r="F127" s="1">
        <v>9</v>
      </c>
      <c r="G127" s="110">
        <f>$H$5</f>
        <v>4087.04</v>
      </c>
      <c r="H127" s="110">
        <f>I109</f>
        <v>11595.54</v>
      </c>
      <c r="I127" s="16">
        <f>H127*F127</f>
        <v>104359.86000000002</v>
      </c>
      <c r="J127" s="16">
        <f>I127*12</f>
        <v>1252318.3200000003</v>
      </c>
      <c r="K127" s="16">
        <f>H127*12*5</f>
        <v>695732.4</v>
      </c>
      <c r="L127" s="91">
        <f>SUM(J127*5)</f>
        <v>6261591.6000000015</v>
      </c>
    </row>
    <row r="128" spans="1:13" s="21" customFormat="1" x14ac:dyDescent="0.25">
      <c r="A128" s="203"/>
      <c r="B128" s="4">
        <v>2</v>
      </c>
      <c r="C128" s="3" t="s">
        <v>17</v>
      </c>
      <c r="D128" s="1" t="s">
        <v>18</v>
      </c>
      <c r="E128" s="1" t="s">
        <v>16</v>
      </c>
      <c r="F128" s="1">
        <v>11</v>
      </c>
      <c r="G128" s="110">
        <f>$J$5</f>
        <v>6777.39</v>
      </c>
      <c r="H128" s="110">
        <f>K109</f>
        <v>18466.810000000001</v>
      </c>
      <c r="I128" s="16">
        <f>H128*F128</f>
        <v>203134.91</v>
      </c>
      <c r="J128" s="16">
        <f>I128*12</f>
        <v>2437618.92</v>
      </c>
      <c r="K128" s="16">
        <f>H128*12*5</f>
        <v>1108008.6000000001</v>
      </c>
      <c r="L128" s="91">
        <f t="shared" ref="L128:L130" si="80">SUM(J128*5)</f>
        <v>12188094.6</v>
      </c>
    </row>
    <row r="129" spans="1:12" s="21" customFormat="1" x14ac:dyDescent="0.25">
      <c r="A129" s="203"/>
      <c r="B129" s="4">
        <v>3</v>
      </c>
      <c r="C129" s="3" t="s">
        <v>19</v>
      </c>
      <c r="D129" s="1" t="s">
        <v>20</v>
      </c>
      <c r="E129" s="1" t="s">
        <v>16</v>
      </c>
      <c r="F129" s="1">
        <v>1</v>
      </c>
      <c r="G129" s="110">
        <f>$L$5</f>
        <v>8128.6</v>
      </c>
      <c r="H129" s="110">
        <f>M109</f>
        <v>21917.82</v>
      </c>
      <c r="I129" s="16">
        <f>H129*F129</f>
        <v>21917.82</v>
      </c>
      <c r="J129" s="16">
        <f t="shared" ref="J129:J130" si="81">I129*12</f>
        <v>263013.83999999997</v>
      </c>
      <c r="K129" s="16">
        <f>H129*12*5</f>
        <v>1315069.1999999997</v>
      </c>
      <c r="L129" s="91">
        <f t="shared" si="80"/>
        <v>1315069.1999999997</v>
      </c>
    </row>
    <row r="130" spans="1:12" s="21" customFormat="1" ht="15.75" thickBot="1" x14ac:dyDescent="0.3">
      <c r="A130" s="204"/>
      <c r="B130" s="100">
        <v>4</v>
      </c>
      <c r="C130" s="101" t="s">
        <v>21</v>
      </c>
      <c r="D130" s="102"/>
      <c r="E130" s="102" t="s">
        <v>16</v>
      </c>
      <c r="F130" s="102">
        <v>21</v>
      </c>
      <c r="G130" s="103" t="s">
        <v>22</v>
      </c>
      <c r="H130" s="104">
        <v>2393.5100000000002</v>
      </c>
      <c r="I130" s="104">
        <f>F130*H130</f>
        <v>50263.710000000006</v>
      </c>
      <c r="J130" s="104">
        <f t="shared" si="81"/>
        <v>603164.52</v>
      </c>
      <c r="K130" s="104">
        <f>H130*12*5</f>
        <v>143610.6</v>
      </c>
      <c r="L130" s="105">
        <f t="shared" si="80"/>
        <v>3015822.6</v>
      </c>
    </row>
    <row r="131" spans="1:12" s="21" customFormat="1" ht="15.75" thickBot="1" x14ac:dyDescent="0.3">
      <c r="A131" s="209" t="s">
        <v>23</v>
      </c>
      <c r="B131" s="210"/>
      <c r="C131" s="210"/>
      <c r="D131" s="210"/>
      <c r="E131" s="210"/>
      <c r="F131" s="106">
        <v>21</v>
      </c>
      <c r="G131" s="210" t="s">
        <v>24</v>
      </c>
      <c r="H131" s="210"/>
      <c r="I131" s="210"/>
      <c r="J131" s="107">
        <f>ROUND(SUM(J127:J130),2)</f>
        <v>4556115.5999999996</v>
      </c>
      <c r="K131" s="108"/>
      <c r="L131" s="109"/>
    </row>
    <row r="132" spans="1:12" s="21" customFormat="1" ht="16.5" thickBot="1" x14ac:dyDescent="0.3">
      <c r="A132" s="207" t="s">
        <v>25</v>
      </c>
      <c r="B132" s="208"/>
      <c r="C132" s="208"/>
      <c r="D132" s="208"/>
      <c r="E132" s="208"/>
      <c r="F132" s="208"/>
      <c r="G132" s="208"/>
      <c r="H132" s="208"/>
      <c r="I132" s="208"/>
      <c r="J132" s="208"/>
      <c r="K132" s="92"/>
      <c r="L132" s="112">
        <f>SUM(L127:L130)</f>
        <v>22780578.000000004</v>
      </c>
    </row>
    <row r="133" spans="1:12" s="21" customFormat="1" x14ac:dyDescent="0.25">
      <c r="A133" s="26" t="s">
        <v>26</v>
      </c>
      <c r="B133" s="26"/>
      <c r="C133" s="26"/>
      <c r="D133" s="26"/>
      <c r="E133" s="26"/>
      <c r="F133" s="26"/>
      <c r="G133" s="26"/>
      <c r="H133" s="25" t="s">
        <v>27</v>
      </c>
      <c r="I133" s="26"/>
      <c r="J133" s="26"/>
    </row>
    <row r="134" spans="1:12" s="21" customFormat="1" x14ac:dyDescent="0.25">
      <c r="A134" s="25" t="s">
        <v>28</v>
      </c>
      <c r="B134" s="25"/>
      <c r="C134" s="25"/>
      <c r="D134" s="25"/>
      <c r="E134" s="25"/>
      <c r="F134" s="25"/>
      <c r="G134" s="25"/>
      <c r="H134" s="25" t="s">
        <v>29</v>
      </c>
      <c r="I134" s="25"/>
      <c r="J134" s="25"/>
    </row>
    <row r="135" spans="1:12" s="21" customFormat="1" x14ac:dyDescent="0.25"/>
  </sheetData>
  <mergeCells count="40">
    <mergeCell ref="A125:L125"/>
    <mergeCell ref="A127:A130"/>
    <mergeCell ref="A131:E131"/>
    <mergeCell ref="G131:I131"/>
    <mergeCell ref="A132:J132"/>
    <mergeCell ref="A113:L113"/>
    <mergeCell ref="A115:A118"/>
    <mergeCell ref="A119:E119"/>
    <mergeCell ref="G119:I119"/>
    <mergeCell ref="A120:J120"/>
    <mergeCell ref="H1:I1"/>
    <mergeCell ref="J1:K1"/>
    <mergeCell ref="L1:M1"/>
    <mergeCell ref="B110:M110"/>
    <mergeCell ref="B109:G109"/>
    <mergeCell ref="B98:F98"/>
    <mergeCell ref="B82:F82"/>
    <mergeCell ref="B3:M3"/>
    <mergeCell ref="B13:F13"/>
    <mergeCell ref="B42:G42"/>
    <mergeCell ref="B44:M44"/>
    <mergeCell ref="B52:F52"/>
    <mergeCell ref="B57:M57"/>
    <mergeCell ref="B66:F66"/>
    <mergeCell ref="B70:F70"/>
    <mergeCell ref="B75:F75"/>
    <mergeCell ref="B53:M56"/>
    <mergeCell ref="B15:M15"/>
    <mergeCell ref="B72:F72"/>
    <mergeCell ref="B77:M77"/>
    <mergeCell ref="C104:G104"/>
    <mergeCell ref="B100:M100"/>
    <mergeCell ref="B84:M84"/>
    <mergeCell ref="C105:G105"/>
    <mergeCell ref="C106:G106"/>
    <mergeCell ref="C107:G107"/>
    <mergeCell ref="C108:G108"/>
    <mergeCell ref="C101:G101"/>
    <mergeCell ref="C102:G102"/>
    <mergeCell ref="C103:G103"/>
  </mergeCells>
  <printOptions horizontalCentered="1" verticalCentered="1"/>
  <pageMargins left="0.11811023622047245" right="0.11811023622047245" top="0.19685039370078741" bottom="0.19685039370078741" header="0" footer="0"/>
  <pageSetup paperSize="8" scale="4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7B1CD7057C33499CEE5B46D5AA695D" ma:contentTypeVersion="11" ma:contentTypeDescription="Create a new document." ma:contentTypeScope="" ma:versionID="59f179338a6048300acd407bc80c67e0">
  <xsd:schema xmlns:xsd="http://www.w3.org/2001/XMLSchema" xmlns:xs="http://www.w3.org/2001/XMLSchema" xmlns:p="http://schemas.microsoft.com/office/2006/metadata/properties" xmlns:ns2="130e7c18-3660-4e46-a70a-29812f0313dc" xmlns:ns3="9e4df602-38a6-46a1-92ca-7661179d636c" targetNamespace="http://schemas.microsoft.com/office/2006/metadata/properties" ma:root="true" ma:fieldsID="c8f04bcafde900112cb0693a863ab7a0" ns2:_="" ns3:_="">
    <xsd:import namespace="130e7c18-3660-4e46-a70a-29812f0313dc"/>
    <xsd:import namespace="9e4df602-38a6-46a1-92ca-7661179d63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0e7c18-3660-4e46-a70a-29812f0313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00ea289-3ad9-475d-94d4-ace0621ad8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4df602-38a6-46a1-92ca-7661179d636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2178c40-3bba-4543-ac6b-d1c75a427c4c}" ma:internalName="TaxCatchAll" ma:showField="CatchAllData" ma:web="9e4df602-38a6-46a1-92ca-7661179d636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30e7c18-3660-4e46-a70a-29812f0313dc">
      <Terms xmlns="http://schemas.microsoft.com/office/infopath/2007/PartnerControls"/>
    </lcf76f155ced4ddcb4097134ff3c332f>
    <TaxCatchAll xmlns="9e4df602-38a6-46a1-92ca-7661179d636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89D631-E381-4D03-A751-7062D398D4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0e7c18-3660-4e46-a70a-29812f0313dc"/>
    <ds:schemaRef ds:uri="9e4df602-38a6-46a1-92ca-7661179d63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AF6B97E-F695-4BF4-9B3B-D17CF6705ABC}">
  <ds:schemaRefs>
    <ds:schemaRef ds:uri="http://schemas.microsoft.com/office/2006/metadata/properties"/>
    <ds:schemaRef ds:uri="http://schemas.microsoft.com/office/infopath/2007/PartnerControls"/>
    <ds:schemaRef ds:uri="130e7c18-3660-4e46-a70a-29812f0313dc"/>
    <ds:schemaRef ds:uri="9e4df602-38a6-46a1-92ca-7661179d636c"/>
  </ds:schemaRefs>
</ds:datastoreItem>
</file>

<file path=customXml/itemProps3.xml><?xml version="1.0" encoding="utf-8"?>
<ds:datastoreItem xmlns:ds="http://schemas.openxmlformats.org/officeDocument/2006/customXml" ds:itemID="{F55D5768-128E-4BF0-A07A-B88B7EA25C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Resumo</vt:lpstr>
      <vt:lpstr>Planilha</vt:lpstr>
      <vt:lpstr>Planilha!Area_de_impressao</vt:lpstr>
      <vt:lpstr>Resumo!Area_de_impressao</vt:lpstr>
    </vt:vector>
  </TitlesOfParts>
  <Manager/>
  <Company>Ministerio da Infraestrutura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Contratação de serviços de cerimonial</dc:title>
  <dc:subject/>
  <dc:creator>Marco Aurelio Correia de Souza</dc:creator>
  <cp:keywords/>
  <dc:description/>
  <cp:lastModifiedBy>Gioconda Brito Andrade</cp:lastModifiedBy>
  <cp:revision/>
  <dcterms:created xsi:type="dcterms:W3CDTF">2023-06-01T17:19:53Z</dcterms:created>
  <dcterms:modified xsi:type="dcterms:W3CDTF">2025-06-02T20:38:38Z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0x0101001B7B1CD7057C33499CEE5B46D5AA695D</vt:lpwstr>
  </property>
  <property fmtid="{D5CDD505-2E9C-101B-9397-08002B2CF9AE}" pid="3" name="MediaServiceImageTags">
    <vt:lpwstr/>
  </property>
</Properties>
</file>